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nsw-my.sharepoint.com/personal/z3532317_ad_unsw_edu_au/Documents/Business/webpage/codex1/Documents/StartupCalculator/"/>
    </mc:Choice>
  </mc:AlternateContent>
  <xr:revisionPtr revIDLastSave="4" documentId="13_ncr:1_{7C481CB7-1D29-48DF-B0BE-F221E8416141}" xr6:coauthVersionLast="47" xr6:coauthVersionMax="47" xr10:uidLastSave="{7D80E2B7-FAB3-4A76-AA9C-6A219E61F389}"/>
  <bookViews>
    <workbookView xWindow="21960" yWindow="9708" windowWidth="19584" windowHeight="15348" tabRatio="751" xr2:uid="{00000000-000D-0000-FFFF-FFFF00000000}"/>
  </bookViews>
  <sheets>
    <sheet name="Results" sheetId="30" r:id="rId1"/>
    <sheet name="Plumbing" sheetId="2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8" i="20" l="1"/>
  <c r="AI77" i="20"/>
  <c r="D6" i="20" l="1"/>
  <c r="H6" i="20" s="1"/>
  <c r="C6" i="20"/>
  <c r="G6" i="20" s="1"/>
  <c r="B6" i="20"/>
  <c r="F6" i="20" s="1"/>
  <c r="D4" i="20"/>
  <c r="H4" i="20" s="1"/>
  <c r="R14" i="20" s="1"/>
  <c r="C4" i="20"/>
  <c r="G4" i="20" s="1"/>
  <c r="Q14" i="20" s="1"/>
  <c r="B4" i="20"/>
  <c r="F4" i="20" s="1"/>
  <c r="P14" i="20" s="1"/>
  <c r="H7" i="20"/>
  <c r="D5" i="20" s="1"/>
  <c r="G7" i="20"/>
  <c r="C5" i="20" s="1"/>
  <c r="F7" i="20"/>
  <c r="B5" i="20" s="1"/>
  <c r="H3" i="20" l="1"/>
  <c r="D3" i="20" s="1"/>
  <c r="G3" i="20"/>
  <c r="C3" i="20" s="1"/>
  <c r="F3" i="20"/>
  <c r="B3" i="20" s="1"/>
  <c r="D83" i="20" l="1"/>
  <c r="D82" i="20"/>
  <c r="D81" i="20"/>
  <c r="C83" i="20"/>
  <c r="C82" i="20"/>
  <c r="C81" i="20"/>
  <c r="B83" i="20"/>
  <c r="B82" i="20"/>
  <c r="B81" i="20"/>
  <c r="ER22" i="20" l="1"/>
  <c r="ES22" i="20"/>
  <c r="ET22" i="20"/>
  <c r="EU22" i="20"/>
  <c r="EV22" i="20"/>
  <c r="EW22" i="20"/>
  <c r="EX22" i="20"/>
  <c r="EY22" i="20"/>
  <c r="EZ22" i="20"/>
  <c r="FA22" i="20"/>
  <c r="FB22" i="20"/>
  <c r="ER23" i="20"/>
  <c r="ES23" i="20"/>
  <c r="ET23" i="20"/>
  <c r="EU23" i="20"/>
  <c r="EV23" i="20"/>
  <c r="EW23" i="20"/>
  <c r="EX23" i="20"/>
  <c r="EY23" i="20"/>
  <c r="EZ23" i="20"/>
  <c r="FA23" i="20"/>
  <c r="FB23" i="20"/>
  <c r="ER24" i="20"/>
  <c r="ES24" i="20"/>
  <c r="ET24" i="20"/>
  <c r="EU24" i="20"/>
  <c r="EV24" i="20"/>
  <c r="EW24" i="20"/>
  <c r="EX24" i="20"/>
  <c r="EY24" i="20"/>
  <c r="EZ24" i="20"/>
  <c r="FA24" i="20"/>
  <c r="FB24" i="20"/>
  <c r="ER25" i="20"/>
  <c r="ES25" i="20"/>
  <c r="ET25" i="20"/>
  <c r="EU25" i="20"/>
  <c r="EV25" i="20"/>
  <c r="EW25" i="20"/>
  <c r="EX25" i="20"/>
  <c r="EY25" i="20"/>
  <c r="EZ25" i="20"/>
  <c r="FA25" i="20"/>
  <c r="FB25" i="20"/>
  <c r="ER26" i="20"/>
  <c r="ES26" i="20"/>
  <c r="ET26" i="20"/>
  <c r="EU26" i="20"/>
  <c r="EV26" i="20"/>
  <c r="EW26" i="20"/>
  <c r="EX26" i="20"/>
  <c r="EY26" i="20"/>
  <c r="EZ26" i="20"/>
  <c r="FA26" i="20"/>
  <c r="FB26" i="20"/>
  <c r="ER27" i="20"/>
  <c r="ES27" i="20"/>
  <c r="ET27" i="20"/>
  <c r="EU27" i="20"/>
  <c r="EV27" i="20"/>
  <c r="EW27" i="20"/>
  <c r="EX27" i="20"/>
  <c r="EY27" i="20"/>
  <c r="EZ27" i="20"/>
  <c r="FA27" i="20"/>
  <c r="FB27" i="20"/>
  <c r="ER28" i="20"/>
  <c r="ES28" i="20"/>
  <c r="ET28" i="20"/>
  <c r="EU28" i="20"/>
  <c r="EV28" i="20"/>
  <c r="EW28" i="20"/>
  <c r="EX28" i="20"/>
  <c r="EY28" i="20"/>
  <c r="EZ28" i="20"/>
  <c r="FA28" i="20"/>
  <c r="FB28" i="20"/>
  <c r="ER29" i="20"/>
  <c r="ES29" i="20"/>
  <c r="ET29" i="20"/>
  <c r="EU29" i="20"/>
  <c r="EV29" i="20"/>
  <c r="EW29" i="20"/>
  <c r="EX29" i="20"/>
  <c r="EY29" i="20"/>
  <c r="EZ29" i="20"/>
  <c r="FA29" i="20"/>
  <c r="FB29" i="20"/>
  <c r="ER30" i="20"/>
  <c r="ES30" i="20"/>
  <c r="ET30" i="20"/>
  <c r="EU30" i="20"/>
  <c r="EV30" i="20"/>
  <c r="EW30" i="20"/>
  <c r="EX30" i="20"/>
  <c r="EY30" i="20"/>
  <c r="EZ30" i="20"/>
  <c r="FA30" i="20"/>
  <c r="FB30" i="20"/>
  <c r="ER31" i="20"/>
  <c r="ES31" i="20"/>
  <c r="ET31" i="20"/>
  <c r="EU31" i="20"/>
  <c r="EV31" i="20"/>
  <c r="EW31" i="20"/>
  <c r="EX31" i="20"/>
  <c r="EY31" i="20"/>
  <c r="EZ31" i="20"/>
  <c r="FA31" i="20"/>
  <c r="FB31" i="20"/>
  <c r="ER32" i="20"/>
  <c r="ES32" i="20"/>
  <c r="ET32" i="20"/>
  <c r="EU32" i="20"/>
  <c r="EV32" i="20"/>
  <c r="EW32" i="20"/>
  <c r="EX32" i="20"/>
  <c r="EY32" i="20"/>
  <c r="EZ32" i="20"/>
  <c r="FA32" i="20"/>
  <c r="FB32" i="20"/>
  <c r="ER33" i="20"/>
  <c r="ES33" i="20"/>
  <c r="ET33" i="20"/>
  <c r="EU33" i="20"/>
  <c r="EV33" i="20"/>
  <c r="EW33" i="20"/>
  <c r="EX33" i="20"/>
  <c r="EY33" i="20"/>
  <c r="EZ33" i="20"/>
  <c r="FA33" i="20"/>
  <c r="FB33" i="20"/>
  <c r="ER34" i="20"/>
  <c r="ES34" i="20"/>
  <c r="ET34" i="20"/>
  <c r="EU34" i="20"/>
  <c r="EV34" i="20"/>
  <c r="EW34" i="20"/>
  <c r="EX34" i="20"/>
  <c r="EY34" i="20"/>
  <c r="EZ34" i="20"/>
  <c r="FA34" i="20"/>
  <c r="FB34" i="20"/>
  <c r="ER35" i="20"/>
  <c r="ES35" i="20"/>
  <c r="ET35" i="20"/>
  <c r="EU35" i="20"/>
  <c r="EV35" i="20"/>
  <c r="EW35" i="20"/>
  <c r="EX35" i="20"/>
  <c r="EY35" i="20"/>
  <c r="EZ35" i="20"/>
  <c r="FA35" i="20"/>
  <c r="FB35" i="20"/>
  <c r="ER36" i="20"/>
  <c r="ES36" i="20"/>
  <c r="ET36" i="20"/>
  <c r="EU36" i="20"/>
  <c r="EV36" i="20"/>
  <c r="EW36" i="20"/>
  <c r="EX36" i="20"/>
  <c r="EY36" i="20"/>
  <c r="EZ36" i="20"/>
  <c r="FA36" i="20"/>
  <c r="FB36" i="20"/>
  <c r="ER37" i="20"/>
  <c r="ES37" i="20"/>
  <c r="ET37" i="20"/>
  <c r="EU37" i="20"/>
  <c r="EV37" i="20"/>
  <c r="EW37" i="20"/>
  <c r="EX37" i="20"/>
  <c r="EY37" i="20"/>
  <c r="EZ37" i="20"/>
  <c r="FA37" i="20"/>
  <c r="FB37" i="20"/>
  <c r="ER38" i="20"/>
  <c r="ES38" i="20"/>
  <c r="ET38" i="20"/>
  <c r="EU38" i="20"/>
  <c r="EV38" i="20"/>
  <c r="EW38" i="20"/>
  <c r="EX38" i="20"/>
  <c r="EY38" i="20"/>
  <c r="EZ38" i="20"/>
  <c r="FA38" i="20"/>
  <c r="FB38" i="20"/>
  <c r="ER39" i="20"/>
  <c r="ES39" i="20"/>
  <c r="ET39" i="20"/>
  <c r="EU39" i="20"/>
  <c r="EV39" i="20"/>
  <c r="EW39" i="20"/>
  <c r="EX39" i="20"/>
  <c r="EY39" i="20"/>
  <c r="EZ39" i="20"/>
  <c r="FA39" i="20"/>
  <c r="FB39" i="20"/>
  <c r="ER40" i="20"/>
  <c r="ES40" i="20"/>
  <c r="ET40" i="20"/>
  <c r="EU40" i="20"/>
  <c r="EV40" i="20"/>
  <c r="EW40" i="20"/>
  <c r="EX40" i="20"/>
  <c r="EY40" i="20"/>
  <c r="EZ40" i="20"/>
  <c r="FA40" i="20"/>
  <c r="FB40" i="20"/>
  <c r="ER41" i="20"/>
  <c r="ES41" i="20"/>
  <c r="ET41" i="20"/>
  <c r="EU41" i="20"/>
  <c r="EV41" i="20"/>
  <c r="EW41" i="20"/>
  <c r="EX41" i="20"/>
  <c r="EY41" i="20"/>
  <c r="EZ41" i="20"/>
  <c r="FA41" i="20"/>
  <c r="FB41" i="20"/>
  <c r="ER42" i="20"/>
  <c r="ES42" i="20"/>
  <c r="ET42" i="20"/>
  <c r="EU42" i="20"/>
  <c r="EV42" i="20"/>
  <c r="EW42" i="20"/>
  <c r="EX42" i="20"/>
  <c r="EY42" i="20"/>
  <c r="EZ42" i="20"/>
  <c r="FA42" i="20"/>
  <c r="FB42" i="20"/>
  <c r="ER43" i="20"/>
  <c r="ES43" i="20"/>
  <c r="ET43" i="20"/>
  <c r="EU43" i="20"/>
  <c r="EV43" i="20"/>
  <c r="EW43" i="20"/>
  <c r="EX43" i="20"/>
  <c r="EY43" i="20"/>
  <c r="EZ43" i="20"/>
  <c r="FA43" i="20"/>
  <c r="FB43" i="20"/>
  <c r="ER44" i="20"/>
  <c r="ES44" i="20"/>
  <c r="ET44" i="20"/>
  <c r="EU44" i="20"/>
  <c r="EV44" i="20"/>
  <c r="EW44" i="20"/>
  <c r="EX44" i="20"/>
  <c r="EY44" i="20"/>
  <c r="EZ44" i="20"/>
  <c r="FA44" i="20"/>
  <c r="FB44" i="20"/>
  <c r="ER45" i="20"/>
  <c r="ES45" i="20"/>
  <c r="ET45" i="20"/>
  <c r="EU45" i="20"/>
  <c r="EV45" i="20"/>
  <c r="EW45" i="20"/>
  <c r="EX45" i="20"/>
  <c r="EY45" i="20"/>
  <c r="EZ45" i="20"/>
  <c r="FA45" i="20"/>
  <c r="FB45" i="20"/>
  <c r="ER46" i="20"/>
  <c r="ES46" i="20"/>
  <c r="ET46" i="20"/>
  <c r="EU46" i="20"/>
  <c r="EV46" i="20"/>
  <c r="EW46" i="20"/>
  <c r="EX46" i="20"/>
  <c r="EY46" i="20"/>
  <c r="EZ46" i="20"/>
  <c r="FA46" i="20"/>
  <c r="FB46" i="20"/>
  <c r="ER47" i="20"/>
  <c r="ES47" i="20"/>
  <c r="ET47" i="20"/>
  <c r="EU47" i="20"/>
  <c r="EV47" i="20"/>
  <c r="EW47" i="20"/>
  <c r="EX47" i="20"/>
  <c r="EY47" i="20"/>
  <c r="EZ47" i="20"/>
  <c r="FA47" i="20"/>
  <c r="FB47" i="20"/>
  <c r="ER48" i="20"/>
  <c r="ES48" i="20"/>
  <c r="ET48" i="20"/>
  <c r="EU48" i="20"/>
  <c r="EV48" i="20"/>
  <c r="EW48" i="20"/>
  <c r="EX48" i="20"/>
  <c r="EY48" i="20"/>
  <c r="EZ48" i="20"/>
  <c r="FA48" i="20"/>
  <c r="FB48" i="20"/>
  <c r="ER49" i="20"/>
  <c r="ES49" i="20"/>
  <c r="ET49" i="20"/>
  <c r="EU49" i="20"/>
  <c r="EV49" i="20"/>
  <c r="EW49" i="20"/>
  <c r="EX49" i="20"/>
  <c r="EY49" i="20"/>
  <c r="EZ49" i="20"/>
  <c r="FA49" i="20"/>
  <c r="FB49" i="20"/>
  <c r="ER50" i="20"/>
  <c r="ES50" i="20"/>
  <c r="ET50" i="20"/>
  <c r="EU50" i="20"/>
  <c r="EV50" i="20"/>
  <c r="EW50" i="20"/>
  <c r="EX50" i="20"/>
  <c r="EY50" i="20"/>
  <c r="EZ50" i="20"/>
  <c r="FA50" i="20"/>
  <c r="FB50" i="20"/>
  <c r="ER51" i="20"/>
  <c r="ES51" i="20"/>
  <c r="ET51" i="20"/>
  <c r="EU51" i="20"/>
  <c r="EV51" i="20"/>
  <c r="EW51" i="20"/>
  <c r="EX51" i="20"/>
  <c r="EY51" i="20"/>
  <c r="EZ51" i="20"/>
  <c r="FA51" i="20"/>
  <c r="FB51" i="20"/>
  <c r="ER52" i="20"/>
  <c r="ES52" i="20"/>
  <c r="ET52" i="20"/>
  <c r="EU52" i="20"/>
  <c r="EV52" i="20"/>
  <c r="EW52" i="20"/>
  <c r="EX52" i="20"/>
  <c r="EY52" i="20"/>
  <c r="EZ52" i="20"/>
  <c r="FA52" i="20"/>
  <c r="FB52" i="20"/>
  <c r="ER53" i="20"/>
  <c r="ES53" i="20"/>
  <c r="ET53" i="20"/>
  <c r="EU53" i="20"/>
  <c r="EV53" i="20"/>
  <c r="EW53" i="20"/>
  <c r="EX53" i="20"/>
  <c r="EY53" i="20"/>
  <c r="EZ53" i="20"/>
  <c r="FA53" i="20"/>
  <c r="FB53" i="20"/>
  <c r="ER54" i="20"/>
  <c r="ES54" i="20"/>
  <c r="ET54" i="20"/>
  <c r="EU54" i="20"/>
  <c r="EV54" i="20"/>
  <c r="EW54" i="20"/>
  <c r="EX54" i="20"/>
  <c r="EY54" i="20"/>
  <c r="EZ54" i="20"/>
  <c r="FA54" i="20"/>
  <c r="FB54" i="20"/>
  <c r="ER55" i="20"/>
  <c r="ES55" i="20"/>
  <c r="ET55" i="20"/>
  <c r="EU55" i="20"/>
  <c r="EV55" i="20"/>
  <c r="EW55" i="20"/>
  <c r="EX55" i="20"/>
  <c r="EY55" i="20"/>
  <c r="EZ55" i="20"/>
  <c r="FA55" i="20"/>
  <c r="FB55" i="20"/>
  <c r="ER56" i="20"/>
  <c r="ES56" i="20"/>
  <c r="ET56" i="20"/>
  <c r="EU56" i="20"/>
  <c r="EV56" i="20"/>
  <c r="EW56" i="20"/>
  <c r="EX56" i="20"/>
  <c r="EY56" i="20"/>
  <c r="EZ56" i="20"/>
  <c r="FA56" i="20"/>
  <c r="FB56" i="20"/>
  <c r="ER57" i="20"/>
  <c r="ES57" i="20"/>
  <c r="ET57" i="20"/>
  <c r="EU57" i="20"/>
  <c r="EV57" i="20"/>
  <c r="EW57" i="20"/>
  <c r="EX57" i="20"/>
  <c r="EY57" i="20"/>
  <c r="EZ57" i="20"/>
  <c r="FA57" i="20"/>
  <c r="FB57" i="20"/>
  <c r="ER58" i="20"/>
  <c r="ES58" i="20"/>
  <c r="ET58" i="20"/>
  <c r="EU58" i="20"/>
  <c r="EV58" i="20"/>
  <c r="EW58" i="20"/>
  <c r="EX58" i="20"/>
  <c r="EY58" i="20"/>
  <c r="EZ58" i="20"/>
  <c r="FA58" i="20"/>
  <c r="FB58" i="20"/>
  <c r="ER59" i="20"/>
  <c r="ES59" i="20"/>
  <c r="ET59" i="20"/>
  <c r="EU59" i="20"/>
  <c r="EV59" i="20"/>
  <c r="EW59" i="20"/>
  <c r="EX59" i="20"/>
  <c r="EY59" i="20"/>
  <c r="EZ59" i="20"/>
  <c r="FA59" i="20"/>
  <c r="FB59" i="20"/>
  <c r="ER60" i="20"/>
  <c r="ES60" i="20"/>
  <c r="ET60" i="20"/>
  <c r="EU60" i="20"/>
  <c r="EV60" i="20"/>
  <c r="EW60" i="20"/>
  <c r="EX60" i="20"/>
  <c r="EY60" i="20"/>
  <c r="EZ60" i="20"/>
  <c r="FA60" i="20"/>
  <c r="FB60" i="20"/>
  <c r="ES21" i="20"/>
  <c r="ET21" i="20"/>
  <c r="EU21" i="20"/>
  <c r="EV21" i="20"/>
  <c r="EW21" i="20"/>
  <c r="EX21" i="20"/>
  <c r="EY21" i="20"/>
  <c r="EZ21" i="20"/>
  <c r="FA21" i="20"/>
  <c r="FB21" i="20"/>
  <c r="ER21" i="20"/>
  <c r="DI18" i="20"/>
  <c r="DI64" i="20" s="1"/>
  <c r="DH18" i="20"/>
  <c r="DH64" i="20" s="1"/>
  <c r="DG18" i="20"/>
  <c r="DG63" i="20" s="1"/>
  <c r="DF18" i="20"/>
  <c r="DF65" i="20" s="1"/>
  <c r="DE18" i="20"/>
  <c r="DE64" i="20" s="1"/>
  <c r="DD18" i="20"/>
  <c r="DD64" i="20" s="1"/>
  <c r="DC18" i="20"/>
  <c r="DC63" i="20" s="1"/>
  <c r="DB18" i="20"/>
  <c r="DB65" i="20" s="1"/>
  <c r="DA18" i="20"/>
  <c r="DA64" i="20" s="1"/>
  <c r="CZ18" i="20"/>
  <c r="CZ64" i="20" s="1"/>
  <c r="CY18" i="20"/>
  <c r="CY64" i="20" s="1"/>
  <c r="EB22" i="20"/>
  <c r="EC22" i="20"/>
  <c r="ED22" i="20"/>
  <c r="EE22" i="20"/>
  <c r="EF22" i="20"/>
  <c r="EG22" i="20"/>
  <c r="EH22" i="20"/>
  <c r="EI22" i="20"/>
  <c r="EJ22" i="20"/>
  <c r="EK22" i="20"/>
  <c r="EL22" i="20"/>
  <c r="EB23" i="20"/>
  <c r="EC23" i="20"/>
  <c r="ED23" i="20"/>
  <c r="EE23" i="20"/>
  <c r="EF23" i="20"/>
  <c r="EG23" i="20"/>
  <c r="EH23" i="20"/>
  <c r="EI23" i="20"/>
  <c r="EJ23" i="20"/>
  <c r="EK23" i="20"/>
  <c r="EL23" i="20"/>
  <c r="EB24" i="20"/>
  <c r="EC24" i="20"/>
  <c r="ED24" i="20"/>
  <c r="EE24" i="20"/>
  <c r="EF24" i="20"/>
  <c r="EG24" i="20"/>
  <c r="EH24" i="20"/>
  <c r="EI24" i="20"/>
  <c r="EJ24" i="20"/>
  <c r="EK24" i="20"/>
  <c r="EL24" i="20"/>
  <c r="EB25" i="20"/>
  <c r="EC25" i="20"/>
  <c r="ED25" i="20"/>
  <c r="EE25" i="20"/>
  <c r="EF25" i="20"/>
  <c r="EG25" i="20"/>
  <c r="EH25" i="20"/>
  <c r="EI25" i="20"/>
  <c r="EJ25" i="20"/>
  <c r="EK25" i="20"/>
  <c r="EL25" i="20"/>
  <c r="EB26" i="20"/>
  <c r="EC26" i="20"/>
  <c r="ED26" i="20"/>
  <c r="EE26" i="20"/>
  <c r="EF26" i="20"/>
  <c r="EG26" i="20"/>
  <c r="EH26" i="20"/>
  <c r="EI26" i="20"/>
  <c r="EJ26" i="20"/>
  <c r="EK26" i="20"/>
  <c r="EL26" i="20"/>
  <c r="EB27" i="20"/>
  <c r="EC27" i="20"/>
  <c r="ED27" i="20"/>
  <c r="EE27" i="20"/>
  <c r="EF27" i="20"/>
  <c r="EG27" i="20"/>
  <c r="EH27" i="20"/>
  <c r="EI27" i="20"/>
  <c r="EJ27" i="20"/>
  <c r="EK27" i="20"/>
  <c r="EL27" i="20"/>
  <c r="EB28" i="20"/>
  <c r="EC28" i="20"/>
  <c r="ED28" i="20"/>
  <c r="EE28" i="20"/>
  <c r="EF28" i="20"/>
  <c r="EG28" i="20"/>
  <c r="EH28" i="20"/>
  <c r="EI28" i="20"/>
  <c r="EJ28" i="20"/>
  <c r="EK28" i="20"/>
  <c r="EL28" i="20"/>
  <c r="EB29" i="20"/>
  <c r="EC29" i="20"/>
  <c r="ED29" i="20"/>
  <c r="EE29" i="20"/>
  <c r="EF29" i="20"/>
  <c r="EG29" i="20"/>
  <c r="EH29" i="20"/>
  <c r="EI29" i="20"/>
  <c r="EJ29" i="20"/>
  <c r="EK29" i="20"/>
  <c r="EL29" i="20"/>
  <c r="EB30" i="20"/>
  <c r="EC30" i="20"/>
  <c r="ED30" i="20"/>
  <c r="EE30" i="20"/>
  <c r="EF30" i="20"/>
  <c r="EG30" i="20"/>
  <c r="EH30" i="20"/>
  <c r="EI30" i="20"/>
  <c r="EJ30" i="20"/>
  <c r="EK30" i="20"/>
  <c r="EL30" i="20"/>
  <c r="EB31" i="20"/>
  <c r="EC31" i="20"/>
  <c r="ED31" i="20"/>
  <c r="EE31" i="20"/>
  <c r="EF31" i="20"/>
  <c r="EG31" i="20"/>
  <c r="EH31" i="20"/>
  <c r="EI31" i="20"/>
  <c r="EJ31" i="20"/>
  <c r="EK31" i="20"/>
  <c r="EL31" i="20"/>
  <c r="EB32" i="20"/>
  <c r="EC32" i="20"/>
  <c r="ED32" i="20"/>
  <c r="EE32" i="20"/>
  <c r="EF32" i="20"/>
  <c r="EG32" i="20"/>
  <c r="EH32" i="20"/>
  <c r="EI32" i="20"/>
  <c r="EJ32" i="20"/>
  <c r="EK32" i="20"/>
  <c r="EL32" i="20"/>
  <c r="EB33" i="20"/>
  <c r="EC33" i="20"/>
  <c r="ED33" i="20"/>
  <c r="EE33" i="20"/>
  <c r="EF33" i="20"/>
  <c r="EG33" i="20"/>
  <c r="EH33" i="20"/>
  <c r="EI33" i="20"/>
  <c r="EJ33" i="20"/>
  <c r="EK33" i="20"/>
  <c r="EL33" i="20"/>
  <c r="EB34" i="20"/>
  <c r="EC34" i="20"/>
  <c r="ED34" i="20"/>
  <c r="EE34" i="20"/>
  <c r="EF34" i="20"/>
  <c r="EG34" i="20"/>
  <c r="EH34" i="20"/>
  <c r="EI34" i="20"/>
  <c r="EJ34" i="20"/>
  <c r="EK34" i="20"/>
  <c r="EL34" i="20"/>
  <c r="EB35" i="20"/>
  <c r="EC35" i="20"/>
  <c r="ED35" i="20"/>
  <c r="EE35" i="20"/>
  <c r="EF35" i="20"/>
  <c r="EG35" i="20"/>
  <c r="EH35" i="20"/>
  <c r="EI35" i="20"/>
  <c r="EJ35" i="20"/>
  <c r="EK35" i="20"/>
  <c r="EL35" i="20"/>
  <c r="EB36" i="20"/>
  <c r="EC36" i="20"/>
  <c r="ED36" i="20"/>
  <c r="EE36" i="20"/>
  <c r="EF36" i="20"/>
  <c r="EG36" i="20"/>
  <c r="EH36" i="20"/>
  <c r="EI36" i="20"/>
  <c r="EJ36" i="20"/>
  <c r="EK36" i="20"/>
  <c r="EL36" i="20"/>
  <c r="EB37" i="20"/>
  <c r="EC37" i="20"/>
  <c r="ED37" i="20"/>
  <c r="EE37" i="20"/>
  <c r="EF37" i="20"/>
  <c r="EG37" i="20"/>
  <c r="EH37" i="20"/>
  <c r="EI37" i="20"/>
  <c r="EJ37" i="20"/>
  <c r="EK37" i="20"/>
  <c r="EL37" i="20"/>
  <c r="EB38" i="20"/>
  <c r="EC38" i="20"/>
  <c r="ED38" i="20"/>
  <c r="EE38" i="20"/>
  <c r="EF38" i="20"/>
  <c r="EG38" i="20"/>
  <c r="EH38" i="20"/>
  <c r="EI38" i="20"/>
  <c r="EJ38" i="20"/>
  <c r="EK38" i="20"/>
  <c r="EL38" i="20"/>
  <c r="EB39" i="20"/>
  <c r="EC39" i="20"/>
  <c r="ED39" i="20"/>
  <c r="EE39" i="20"/>
  <c r="EF39" i="20"/>
  <c r="EG39" i="20"/>
  <c r="EH39" i="20"/>
  <c r="EI39" i="20"/>
  <c r="EJ39" i="20"/>
  <c r="EK39" i="20"/>
  <c r="EL39" i="20"/>
  <c r="EB40" i="20"/>
  <c r="EC40" i="20"/>
  <c r="ED40" i="20"/>
  <c r="EE40" i="20"/>
  <c r="EF40" i="20"/>
  <c r="EG40" i="20"/>
  <c r="EH40" i="20"/>
  <c r="EI40" i="20"/>
  <c r="EJ40" i="20"/>
  <c r="EK40" i="20"/>
  <c r="EL40" i="20"/>
  <c r="EB41" i="20"/>
  <c r="EC41" i="20"/>
  <c r="ED41" i="20"/>
  <c r="EE41" i="20"/>
  <c r="EF41" i="20"/>
  <c r="EG41" i="20"/>
  <c r="EH41" i="20"/>
  <c r="EI41" i="20"/>
  <c r="EJ41" i="20"/>
  <c r="EK41" i="20"/>
  <c r="EL41" i="20"/>
  <c r="EB42" i="20"/>
  <c r="EC42" i="20"/>
  <c r="ED42" i="20"/>
  <c r="EE42" i="20"/>
  <c r="EF42" i="20"/>
  <c r="EG42" i="20"/>
  <c r="EH42" i="20"/>
  <c r="EI42" i="20"/>
  <c r="EJ42" i="20"/>
  <c r="EK42" i="20"/>
  <c r="EL42" i="20"/>
  <c r="EB43" i="20"/>
  <c r="EC43" i="20"/>
  <c r="ED43" i="20"/>
  <c r="EE43" i="20"/>
  <c r="EF43" i="20"/>
  <c r="EG43" i="20"/>
  <c r="EH43" i="20"/>
  <c r="EI43" i="20"/>
  <c r="EJ43" i="20"/>
  <c r="EK43" i="20"/>
  <c r="EL43" i="20"/>
  <c r="EB44" i="20"/>
  <c r="EC44" i="20"/>
  <c r="ED44" i="20"/>
  <c r="EE44" i="20"/>
  <c r="EF44" i="20"/>
  <c r="EG44" i="20"/>
  <c r="EH44" i="20"/>
  <c r="EI44" i="20"/>
  <c r="EJ44" i="20"/>
  <c r="EK44" i="20"/>
  <c r="EL44" i="20"/>
  <c r="EB45" i="20"/>
  <c r="EC45" i="20"/>
  <c r="ED45" i="20"/>
  <c r="EE45" i="20"/>
  <c r="EF45" i="20"/>
  <c r="EG45" i="20"/>
  <c r="EH45" i="20"/>
  <c r="EI45" i="20"/>
  <c r="EJ45" i="20"/>
  <c r="EK45" i="20"/>
  <c r="EL45" i="20"/>
  <c r="EB46" i="20"/>
  <c r="EC46" i="20"/>
  <c r="ED46" i="20"/>
  <c r="EE46" i="20"/>
  <c r="EF46" i="20"/>
  <c r="EG46" i="20"/>
  <c r="EH46" i="20"/>
  <c r="EI46" i="20"/>
  <c r="EJ46" i="20"/>
  <c r="EK46" i="20"/>
  <c r="EL46" i="20"/>
  <c r="EB47" i="20"/>
  <c r="EC47" i="20"/>
  <c r="ED47" i="20"/>
  <c r="EE47" i="20"/>
  <c r="EF47" i="20"/>
  <c r="EG47" i="20"/>
  <c r="EH47" i="20"/>
  <c r="EI47" i="20"/>
  <c r="EJ47" i="20"/>
  <c r="EK47" i="20"/>
  <c r="EL47" i="20"/>
  <c r="EB48" i="20"/>
  <c r="EC48" i="20"/>
  <c r="ED48" i="20"/>
  <c r="EE48" i="20"/>
  <c r="EF48" i="20"/>
  <c r="EG48" i="20"/>
  <c r="EH48" i="20"/>
  <c r="EI48" i="20"/>
  <c r="EJ48" i="20"/>
  <c r="EK48" i="20"/>
  <c r="EL48" i="20"/>
  <c r="EB49" i="20"/>
  <c r="EC49" i="20"/>
  <c r="ED49" i="20"/>
  <c r="EE49" i="20"/>
  <c r="EF49" i="20"/>
  <c r="EG49" i="20"/>
  <c r="EH49" i="20"/>
  <c r="EI49" i="20"/>
  <c r="EJ49" i="20"/>
  <c r="EK49" i="20"/>
  <c r="EL49" i="20"/>
  <c r="EB50" i="20"/>
  <c r="EC50" i="20"/>
  <c r="ED50" i="20"/>
  <c r="EE50" i="20"/>
  <c r="EF50" i="20"/>
  <c r="EG50" i="20"/>
  <c r="EH50" i="20"/>
  <c r="EI50" i="20"/>
  <c r="EJ50" i="20"/>
  <c r="EK50" i="20"/>
  <c r="EL50" i="20"/>
  <c r="EB51" i="20"/>
  <c r="EC51" i="20"/>
  <c r="ED51" i="20"/>
  <c r="EE51" i="20"/>
  <c r="EF51" i="20"/>
  <c r="EG51" i="20"/>
  <c r="EH51" i="20"/>
  <c r="EI51" i="20"/>
  <c r="EJ51" i="20"/>
  <c r="EK51" i="20"/>
  <c r="EL51" i="20"/>
  <c r="EB52" i="20"/>
  <c r="EC52" i="20"/>
  <c r="ED52" i="20"/>
  <c r="EE52" i="20"/>
  <c r="EF52" i="20"/>
  <c r="EG52" i="20"/>
  <c r="EH52" i="20"/>
  <c r="EI52" i="20"/>
  <c r="EJ52" i="20"/>
  <c r="EK52" i="20"/>
  <c r="EL52" i="20"/>
  <c r="EB53" i="20"/>
  <c r="EC53" i="20"/>
  <c r="ED53" i="20"/>
  <c r="EE53" i="20"/>
  <c r="EF53" i="20"/>
  <c r="EG53" i="20"/>
  <c r="EH53" i="20"/>
  <c r="EI53" i="20"/>
  <c r="EJ53" i="20"/>
  <c r="EK53" i="20"/>
  <c r="EL53" i="20"/>
  <c r="EB54" i="20"/>
  <c r="EC54" i="20"/>
  <c r="ED54" i="20"/>
  <c r="EE54" i="20"/>
  <c r="EF54" i="20"/>
  <c r="EG54" i="20"/>
  <c r="EH54" i="20"/>
  <c r="EI54" i="20"/>
  <c r="EJ54" i="20"/>
  <c r="EK54" i="20"/>
  <c r="EL54" i="20"/>
  <c r="EB55" i="20"/>
  <c r="EC55" i="20"/>
  <c r="ED55" i="20"/>
  <c r="EE55" i="20"/>
  <c r="EF55" i="20"/>
  <c r="EG55" i="20"/>
  <c r="EH55" i="20"/>
  <c r="EI55" i="20"/>
  <c r="EJ55" i="20"/>
  <c r="EK55" i="20"/>
  <c r="EL55" i="20"/>
  <c r="EB56" i="20"/>
  <c r="EC56" i="20"/>
  <c r="ED56" i="20"/>
  <c r="EE56" i="20"/>
  <c r="EF56" i="20"/>
  <c r="EG56" i="20"/>
  <c r="EH56" i="20"/>
  <c r="EI56" i="20"/>
  <c r="EJ56" i="20"/>
  <c r="EK56" i="20"/>
  <c r="EL56" i="20"/>
  <c r="EB57" i="20"/>
  <c r="EC57" i="20"/>
  <c r="ED57" i="20"/>
  <c r="EE57" i="20"/>
  <c r="EF57" i="20"/>
  <c r="EG57" i="20"/>
  <c r="EH57" i="20"/>
  <c r="EI57" i="20"/>
  <c r="EJ57" i="20"/>
  <c r="EK57" i="20"/>
  <c r="EL57" i="20"/>
  <c r="EB58" i="20"/>
  <c r="EC58" i="20"/>
  <c r="ED58" i="20"/>
  <c r="EE58" i="20"/>
  <c r="EF58" i="20"/>
  <c r="EG58" i="20"/>
  <c r="EH58" i="20"/>
  <c r="EI58" i="20"/>
  <c r="EJ58" i="20"/>
  <c r="EK58" i="20"/>
  <c r="EL58" i="20"/>
  <c r="EB59" i="20"/>
  <c r="EC59" i="20"/>
  <c r="ED59" i="20"/>
  <c r="EE59" i="20"/>
  <c r="EF59" i="20"/>
  <c r="EG59" i="20"/>
  <c r="EH59" i="20"/>
  <c r="EI59" i="20"/>
  <c r="EJ59" i="20"/>
  <c r="EK59" i="20"/>
  <c r="EL59" i="20"/>
  <c r="EB60" i="20"/>
  <c r="EC60" i="20"/>
  <c r="ED60" i="20"/>
  <c r="EE60" i="20"/>
  <c r="EF60" i="20"/>
  <c r="EG60" i="20"/>
  <c r="EH60" i="20"/>
  <c r="EI60" i="20"/>
  <c r="EJ60" i="20"/>
  <c r="EK60" i="20"/>
  <c r="EL60" i="20"/>
  <c r="EC21" i="20"/>
  <c r="ED21" i="20"/>
  <c r="EE21" i="20"/>
  <c r="EF21" i="20"/>
  <c r="EG21" i="20"/>
  <c r="EH21" i="20"/>
  <c r="EI21" i="20"/>
  <c r="EJ21" i="20"/>
  <c r="EK21" i="20"/>
  <c r="EL21" i="20"/>
  <c r="EB21" i="20"/>
  <c r="CV18" i="20"/>
  <c r="CV62" i="20" s="1"/>
  <c r="CU18" i="20"/>
  <c r="CU61" i="20" s="1"/>
  <c r="CT18" i="20"/>
  <c r="CT61" i="20" s="1"/>
  <c r="CS18" i="20"/>
  <c r="CS63" i="20" s="1"/>
  <c r="CR18" i="20"/>
  <c r="CR62" i="20" s="1"/>
  <c r="CQ18" i="20"/>
  <c r="CQ61" i="20" s="1"/>
  <c r="CP18" i="20"/>
  <c r="CP61" i="20" s="1"/>
  <c r="CO18" i="20"/>
  <c r="CO63" i="20" s="1"/>
  <c r="CN18" i="20"/>
  <c r="CN62" i="20" s="1"/>
  <c r="CM18" i="20"/>
  <c r="CM61" i="20" s="1"/>
  <c r="CL18" i="20"/>
  <c r="CL61" i="20" s="1"/>
  <c r="DL22" i="20"/>
  <c r="DM22" i="20"/>
  <c r="DN22" i="20"/>
  <c r="DO22" i="20"/>
  <c r="DP22" i="20"/>
  <c r="DQ22" i="20"/>
  <c r="DR22" i="20"/>
  <c r="DS22" i="20"/>
  <c r="DT22" i="20"/>
  <c r="DU22" i="20"/>
  <c r="DV22" i="20"/>
  <c r="DL23" i="20"/>
  <c r="DM23" i="20"/>
  <c r="DN23" i="20"/>
  <c r="DO23" i="20"/>
  <c r="DP23" i="20"/>
  <c r="DQ23" i="20"/>
  <c r="DR23" i="20"/>
  <c r="DS23" i="20"/>
  <c r="DT23" i="20"/>
  <c r="DU23" i="20"/>
  <c r="DV23" i="20"/>
  <c r="DL24" i="20"/>
  <c r="DM24" i="20"/>
  <c r="DN24" i="20"/>
  <c r="DO24" i="20"/>
  <c r="DP24" i="20"/>
  <c r="DQ24" i="20"/>
  <c r="DR24" i="20"/>
  <c r="DS24" i="20"/>
  <c r="DT24" i="20"/>
  <c r="DU24" i="20"/>
  <c r="DV24" i="20"/>
  <c r="DL25" i="20"/>
  <c r="DM25" i="20"/>
  <c r="DN25" i="20"/>
  <c r="DO25" i="20"/>
  <c r="DP25" i="20"/>
  <c r="DQ25" i="20"/>
  <c r="DR25" i="20"/>
  <c r="DS25" i="20"/>
  <c r="DT25" i="20"/>
  <c r="DU25" i="20"/>
  <c r="DV25" i="20"/>
  <c r="DL26" i="20"/>
  <c r="DM26" i="20"/>
  <c r="DN26" i="20"/>
  <c r="DO26" i="20"/>
  <c r="DP26" i="20"/>
  <c r="DQ26" i="20"/>
  <c r="DR26" i="20"/>
  <c r="DS26" i="20"/>
  <c r="DT26" i="20"/>
  <c r="DU26" i="20"/>
  <c r="DV26" i="20"/>
  <c r="DL27" i="20"/>
  <c r="DM27" i="20"/>
  <c r="DN27" i="20"/>
  <c r="DO27" i="20"/>
  <c r="DP27" i="20"/>
  <c r="DQ27" i="20"/>
  <c r="DR27" i="20"/>
  <c r="DS27" i="20"/>
  <c r="DT27" i="20"/>
  <c r="DU27" i="20"/>
  <c r="DV27" i="20"/>
  <c r="DL28" i="20"/>
  <c r="DM28" i="20"/>
  <c r="DN28" i="20"/>
  <c r="DO28" i="20"/>
  <c r="DP28" i="20"/>
  <c r="DQ28" i="20"/>
  <c r="DR28" i="20"/>
  <c r="DS28" i="20"/>
  <c r="DT28" i="20"/>
  <c r="DU28" i="20"/>
  <c r="DV28" i="20"/>
  <c r="DL29" i="20"/>
  <c r="DM29" i="20"/>
  <c r="DN29" i="20"/>
  <c r="DO29" i="20"/>
  <c r="DP29" i="20"/>
  <c r="DQ29" i="20"/>
  <c r="DR29" i="20"/>
  <c r="DS29" i="20"/>
  <c r="DT29" i="20"/>
  <c r="DU29" i="20"/>
  <c r="DV29" i="20"/>
  <c r="DL30" i="20"/>
  <c r="DM30" i="20"/>
  <c r="DN30" i="20"/>
  <c r="DO30" i="20"/>
  <c r="DP30" i="20"/>
  <c r="DQ30" i="20"/>
  <c r="DR30" i="20"/>
  <c r="DS30" i="20"/>
  <c r="DT30" i="20"/>
  <c r="DU30" i="20"/>
  <c r="DV30" i="20"/>
  <c r="DL31" i="20"/>
  <c r="DM31" i="20"/>
  <c r="DN31" i="20"/>
  <c r="DO31" i="20"/>
  <c r="DP31" i="20"/>
  <c r="DQ31" i="20"/>
  <c r="DR31" i="20"/>
  <c r="DS31" i="20"/>
  <c r="DT31" i="20"/>
  <c r="DU31" i="20"/>
  <c r="DV31" i="20"/>
  <c r="DL32" i="20"/>
  <c r="DM32" i="20"/>
  <c r="DN32" i="20"/>
  <c r="DO32" i="20"/>
  <c r="DP32" i="20"/>
  <c r="DQ32" i="20"/>
  <c r="DR32" i="20"/>
  <c r="DS32" i="20"/>
  <c r="DT32" i="20"/>
  <c r="DU32" i="20"/>
  <c r="DV32" i="20"/>
  <c r="DL33" i="20"/>
  <c r="DM33" i="20"/>
  <c r="DN33" i="20"/>
  <c r="DO33" i="20"/>
  <c r="DP33" i="20"/>
  <c r="DQ33" i="20"/>
  <c r="DR33" i="20"/>
  <c r="DS33" i="20"/>
  <c r="DT33" i="20"/>
  <c r="DU33" i="20"/>
  <c r="DV33" i="20"/>
  <c r="DL34" i="20"/>
  <c r="DM34" i="20"/>
  <c r="DN34" i="20"/>
  <c r="DO34" i="20"/>
  <c r="DP34" i="20"/>
  <c r="DQ34" i="20"/>
  <c r="DR34" i="20"/>
  <c r="DS34" i="20"/>
  <c r="DT34" i="20"/>
  <c r="DU34" i="20"/>
  <c r="DV34" i="20"/>
  <c r="DL35" i="20"/>
  <c r="DM35" i="20"/>
  <c r="DN35" i="20"/>
  <c r="DO35" i="20"/>
  <c r="DP35" i="20"/>
  <c r="DQ35" i="20"/>
  <c r="DR35" i="20"/>
  <c r="DS35" i="20"/>
  <c r="DT35" i="20"/>
  <c r="DU35" i="20"/>
  <c r="DV35" i="20"/>
  <c r="DL36" i="20"/>
  <c r="DM36" i="20"/>
  <c r="DN36" i="20"/>
  <c r="DO36" i="20"/>
  <c r="DP36" i="20"/>
  <c r="DQ36" i="20"/>
  <c r="DR36" i="20"/>
  <c r="DS36" i="20"/>
  <c r="DT36" i="20"/>
  <c r="DU36" i="20"/>
  <c r="DV36" i="20"/>
  <c r="DL37" i="20"/>
  <c r="DM37" i="20"/>
  <c r="DN37" i="20"/>
  <c r="DO37" i="20"/>
  <c r="DP37" i="20"/>
  <c r="DQ37" i="20"/>
  <c r="DR37" i="20"/>
  <c r="DS37" i="20"/>
  <c r="DT37" i="20"/>
  <c r="DU37" i="20"/>
  <c r="DV37" i="20"/>
  <c r="DL38" i="20"/>
  <c r="DM38" i="20"/>
  <c r="DN38" i="20"/>
  <c r="DO38" i="20"/>
  <c r="DP38" i="20"/>
  <c r="DQ38" i="20"/>
  <c r="DR38" i="20"/>
  <c r="DS38" i="20"/>
  <c r="DT38" i="20"/>
  <c r="DU38" i="20"/>
  <c r="DV38" i="20"/>
  <c r="DL39" i="20"/>
  <c r="DM39" i="20"/>
  <c r="DN39" i="20"/>
  <c r="DO39" i="20"/>
  <c r="DP39" i="20"/>
  <c r="DQ39" i="20"/>
  <c r="DR39" i="20"/>
  <c r="DS39" i="20"/>
  <c r="DT39" i="20"/>
  <c r="DU39" i="20"/>
  <c r="DV39" i="20"/>
  <c r="DL40" i="20"/>
  <c r="DM40" i="20"/>
  <c r="DN40" i="20"/>
  <c r="DO40" i="20"/>
  <c r="DP40" i="20"/>
  <c r="DQ40" i="20"/>
  <c r="DR40" i="20"/>
  <c r="DS40" i="20"/>
  <c r="DT40" i="20"/>
  <c r="DU40" i="20"/>
  <c r="DV40" i="20"/>
  <c r="DL41" i="20"/>
  <c r="DM41" i="20"/>
  <c r="DN41" i="20"/>
  <c r="DO41" i="20"/>
  <c r="DP41" i="20"/>
  <c r="DQ41" i="20"/>
  <c r="DR41" i="20"/>
  <c r="DS41" i="20"/>
  <c r="DT41" i="20"/>
  <c r="DU41" i="20"/>
  <c r="DV41" i="20"/>
  <c r="DL42" i="20"/>
  <c r="DM42" i="20"/>
  <c r="DN42" i="20"/>
  <c r="DO42" i="20"/>
  <c r="DP42" i="20"/>
  <c r="DQ42" i="20"/>
  <c r="DR42" i="20"/>
  <c r="DS42" i="20"/>
  <c r="DT42" i="20"/>
  <c r="DU42" i="20"/>
  <c r="DV42" i="20"/>
  <c r="DL43" i="20"/>
  <c r="DM43" i="20"/>
  <c r="DN43" i="20"/>
  <c r="DO43" i="20"/>
  <c r="DP43" i="20"/>
  <c r="DQ43" i="20"/>
  <c r="DR43" i="20"/>
  <c r="DS43" i="20"/>
  <c r="DT43" i="20"/>
  <c r="DU43" i="20"/>
  <c r="DV43" i="20"/>
  <c r="DL44" i="20"/>
  <c r="DM44" i="20"/>
  <c r="DN44" i="20"/>
  <c r="DO44" i="20"/>
  <c r="DP44" i="20"/>
  <c r="DQ44" i="20"/>
  <c r="DR44" i="20"/>
  <c r="DS44" i="20"/>
  <c r="DT44" i="20"/>
  <c r="DU44" i="20"/>
  <c r="DV44" i="20"/>
  <c r="DL45" i="20"/>
  <c r="DM45" i="20"/>
  <c r="DN45" i="20"/>
  <c r="DO45" i="20"/>
  <c r="DP45" i="20"/>
  <c r="DQ45" i="20"/>
  <c r="DR45" i="20"/>
  <c r="DS45" i="20"/>
  <c r="DT45" i="20"/>
  <c r="DU45" i="20"/>
  <c r="DV45" i="20"/>
  <c r="DL46" i="20"/>
  <c r="DM46" i="20"/>
  <c r="DN46" i="20"/>
  <c r="DO46" i="20"/>
  <c r="DP46" i="20"/>
  <c r="DQ46" i="20"/>
  <c r="DR46" i="20"/>
  <c r="DS46" i="20"/>
  <c r="DT46" i="20"/>
  <c r="DU46" i="20"/>
  <c r="DV46" i="20"/>
  <c r="DL47" i="20"/>
  <c r="DM47" i="20"/>
  <c r="DN47" i="20"/>
  <c r="DO47" i="20"/>
  <c r="DP47" i="20"/>
  <c r="DQ47" i="20"/>
  <c r="DR47" i="20"/>
  <c r="DS47" i="20"/>
  <c r="DT47" i="20"/>
  <c r="DU47" i="20"/>
  <c r="DV47" i="20"/>
  <c r="DL48" i="20"/>
  <c r="DM48" i="20"/>
  <c r="DN48" i="20"/>
  <c r="DO48" i="20"/>
  <c r="DP48" i="20"/>
  <c r="DQ48" i="20"/>
  <c r="DR48" i="20"/>
  <c r="DS48" i="20"/>
  <c r="DT48" i="20"/>
  <c r="DU48" i="20"/>
  <c r="DV48" i="20"/>
  <c r="DL49" i="20"/>
  <c r="DM49" i="20"/>
  <c r="DN49" i="20"/>
  <c r="DO49" i="20"/>
  <c r="DP49" i="20"/>
  <c r="DQ49" i="20"/>
  <c r="DR49" i="20"/>
  <c r="DS49" i="20"/>
  <c r="DT49" i="20"/>
  <c r="DU49" i="20"/>
  <c r="DV49" i="20"/>
  <c r="DL50" i="20"/>
  <c r="DM50" i="20"/>
  <c r="DN50" i="20"/>
  <c r="DO50" i="20"/>
  <c r="DP50" i="20"/>
  <c r="DQ50" i="20"/>
  <c r="DR50" i="20"/>
  <c r="DS50" i="20"/>
  <c r="DT50" i="20"/>
  <c r="DU50" i="20"/>
  <c r="DV50" i="20"/>
  <c r="DL51" i="20"/>
  <c r="DM51" i="20"/>
  <c r="DN51" i="20"/>
  <c r="DO51" i="20"/>
  <c r="DP51" i="20"/>
  <c r="DQ51" i="20"/>
  <c r="DR51" i="20"/>
  <c r="DS51" i="20"/>
  <c r="DT51" i="20"/>
  <c r="DU51" i="20"/>
  <c r="DV51" i="20"/>
  <c r="DL52" i="20"/>
  <c r="DM52" i="20"/>
  <c r="DN52" i="20"/>
  <c r="DO52" i="20"/>
  <c r="DP52" i="20"/>
  <c r="DQ52" i="20"/>
  <c r="DR52" i="20"/>
  <c r="DS52" i="20"/>
  <c r="DT52" i="20"/>
  <c r="DU52" i="20"/>
  <c r="DV52" i="20"/>
  <c r="DL53" i="20"/>
  <c r="DM53" i="20"/>
  <c r="DN53" i="20"/>
  <c r="DO53" i="20"/>
  <c r="DP53" i="20"/>
  <c r="DQ53" i="20"/>
  <c r="DR53" i="20"/>
  <c r="DS53" i="20"/>
  <c r="DT53" i="20"/>
  <c r="DU53" i="20"/>
  <c r="DV53" i="20"/>
  <c r="DL54" i="20"/>
  <c r="DM54" i="20"/>
  <c r="DN54" i="20"/>
  <c r="DO54" i="20"/>
  <c r="DP54" i="20"/>
  <c r="DQ54" i="20"/>
  <c r="DR54" i="20"/>
  <c r="DS54" i="20"/>
  <c r="DT54" i="20"/>
  <c r="DU54" i="20"/>
  <c r="DV54" i="20"/>
  <c r="DL55" i="20"/>
  <c r="DM55" i="20"/>
  <c r="DN55" i="20"/>
  <c r="DO55" i="20"/>
  <c r="DP55" i="20"/>
  <c r="DQ55" i="20"/>
  <c r="DR55" i="20"/>
  <c r="DS55" i="20"/>
  <c r="DT55" i="20"/>
  <c r="DU55" i="20"/>
  <c r="DV55" i="20"/>
  <c r="DL56" i="20"/>
  <c r="DM56" i="20"/>
  <c r="DN56" i="20"/>
  <c r="DO56" i="20"/>
  <c r="DP56" i="20"/>
  <c r="DQ56" i="20"/>
  <c r="DR56" i="20"/>
  <c r="DS56" i="20"/>
  <c r="DT56" i="20"/>
  <c r="DU56" i="20"/>
  <c r="DV56" i="20"/>
  <c r="DL57" i="20"/>
  <c r="DM57" i="20"/>
  <c r="DN57" i="20"/>
  <c r="DO57" i="20"/>
  <c r="DP57" i="20"/>
  <c r="DQ57" i="20"/>
  <c r="DR57" i="20"/>
  <c r="DS57" i="20"/>
  <c r="DT57" i="20"/>
  <c r="DU57" i="20"/>
  <c r="DV57" i="20"/>
  <c r="DL58" i="20"/>
  <c r="DM58" i="20"/>
  <c r="DN58" i="20"/>
  <c r="DO58" i="20"/>
  <c r="DP58" i="20"/>
  <c r="DQ58" i="20"/>
  <c r="DR58" i="20"/>
  <c r="DS58" i="20"/>
  <c r="DT58" i="20"/>
  <c r="DU58" i="20"/>
  <c r="DV58" i="20"/>
  <c r="DL59" i="20"/>
  <c r="DM59" i="20"/>
  <c r="DN59" i="20"/>
  <c r="DO59" i="20"/>
  <c r="DP59" i="20"/>
  <c r="DQ59" i="20"/>
  <c r="DR59" i="20"/>
  <c r="DS59" i="20"/>
  <c r="DT59" i="20"/>
  <c r="DU59" i="20"/>
  <c r="DV59" i="20"/>
  <c r="DL60" i="20"/>
  <c r="DM60" i="20"/>
  <c r="DN60" i="20"/>
  <c r="DO60" i="20"/>
  <c r="DP60" i="20"/>
  <c r="DQ60" i="20"/>
  <c r="DR60" i="20"/>
  <c r="DS60" i="20"/>
  <c r="DT60" i="20"/>
  <c r="DU60" i="20"/>
  <c r="DV60" i="20"/>
  <c r="DM21" i="20"/>
  <c r="DN21" i="20"/>
  <c r="DO21" i="20"/>
  <c r="DP21" i="20"/>
  <c r="DQ21" i="20"/>
  <c r="DR21" i="20"/>
  <c r="DS21" i="20"/>
  <c r="DT21" i="20"/>
  <c r="DU21" i="20"/>
  <c r="DV21" i="20"/>
  <c r="DL21" i="20"/>
  <c r="CI18" i="20"/>
  <c r="CI62" i="20" s="1"/>
  <c r="CH18" i="20"/>
  <c r="CH61" i="20" s="1"/>
  <c r="CG18" i="20"/>
  <c r="CG61" i="20" s="1"/>
  <c r="CF18" i="20"/>
  <c r="CF63" i="20" s="1"/>
  <c r="CE18" i="20"/>
  <c r="CE62" i="20" s="1"/>
  <c r="CD18" i="20"/>
  <c r="CD61" i="20" s="1"/>
  <c r="CC18" i="20"/>
  <c r="CC61" i="20" s="1"/>
  <c r="CB18" i="20"/>
  <c r="CB63" i="20" s="1"/>
  <c r="CA18" i="20"/>
  <c r="CA62" i="20" s="1"/>
  <c r="BZ18" i="20"/>
  <c r="BZ61" i="20" s="1"/>
  <c r="BY18" i="20"/>
  <c r="BY61" i="20" s="1"/>
  <c r="AZ22" i="20"/>
  <c r="BA22" i="20"/>
  <c r="AZ23" i="20"/>
  <c r="BA23" i="20"/>
  <c r="BB23" i="20"/>
  <c r="AZ24" i="20"/>
  <c r="BA24" i="20"/>
  <c r="BB24" i="20"/>
  <c r="BC24" i="20"/>
  <c r="AZ25" i="20"/>
  <c r="BA25" i="20"/>
  <c r="BB25" i="20"/>
  <c r="BC25" i="20"/>
  <c r="BD25" i="20"/>
  <c r="AZ26" i="20"/>
  <c r="BA26" i="20"/>
  <c r="BB26" i="20"/>
  <c r="BC26" i="20"/>
  <c r="BD26" i="20"/>
  <c r="BE26" i="20"/>
  <c r="AZ27" i="20"/>
  <c r="BA27" i="20"/>
  <c r="BB27" i="20"/>
  <c r="BC27" i="20"/>
  <c r="BD27" i="20"/>
  <c r="BE27" i="20"/>
  <c r="AZ28" i="20"/>
  <c r="BA28" i="20"/>
  <c r="BB28" i="20"/>
  <c r="BC28" i="20"/>
  <c r="BD28" i="20"/>
  <c r="BE28" i="20"/>
  <c r="AZ29" i="20"/>
  <c r="BA29" i="20"/>
  <c r="BB29" i="20"/>
  <c r="BC29" i="20"/>
  <c r="BD29" i="20"/>
  <c r="BE29" i="20"/>
  <c r="AZ30" i="20"/>
  <c r="BA30" i="20"/>
  <c r="BB30" i="20"/>
  <c r="BC30" i="20"/>
  <c r="BD30" i="20"/>
  <c r="BE30" i="20"/>
  <c r="AZ31" i="20"/>
  <c r="BA31" i="20"/>
  <c r="BB31" i="20"/>
  <c r="BC31" i="20"/>
  <c r="BD31" i="20"/>
  <c r="BE31" i="20"/>
  <c r="AZ32" i="20"/>
  <c r="BA32" i="20"/>
  <c r="BB32" i="20"/>
  <c r="BC32" i="20"/>
  <c r="BD32" i="20"/>
  <c r="BE32" i="20"/>
  <c r="AZ33" i="20"/>
  <c r="BA33" i="20"/>
  <c r="BB33" i="20"/>
  <c r="BC33" i="20"/>
  <c r="BD33" i="20"/>
  <c r="BE33" i="20"/>
  <c r="AZ34" i="20"/>
  <c r="BA34" i="20"/>
  <c r="BB34" i="20"/>
  <c r="BC34" i="20"/>
  <c r="BD34" i="20"/>
  <c r="BE34" i="20"/>
  <c r="AZ35" i="20"/>
  <c r="BA35" i="20"/>
  <c r="BB35" i="20"/>
  <c r="BC35" i="20"/>
  <c r="BD35" i="20"/>
  <c r="BE35" i="20"/>
  <c r="BF35" i="20"/>
  <c r="BG35" i="20"/>
  <c r="BH35" i="20"/>
  <c r="BI35" i="20"/>
  <c r="BJ35" i="20"/>
  <c r="AZ36" i="20"/>
  <c r="BA36" i="20"/>
  <c r="BB36" i="20"/>
  <c r="BC36" i="20"/>
  <c r="BD36" i="20"/>
  <c r="BE36" i="20"/>
  <c r="BF36" i="20"/>
  <c r="BG36" i="20"/>
  <c r="BH36" i="20"/>
  <c r="BI36" i="20"/>
  <c r="BJ36" i="20"/>
  <c r="AZ37" i="20"/>
  <c r="BA37" i="20"/>
  <c r="BB37" i="20"/>
  <c r="BC37" i="20"/>
  <c r="BD37" i="20"/>
  <c r="BE37" i="20"/>
  <c r="BF37" i="20"/>
  <c r="BG37" i="20"/>
  <c r="BH37" i="20"/>
  <c r="BI37" i="20"/>
  <c r="BJ37" i="20"/>
  <c r="AZ38" i="20"/>
  <c r="BA38" i="20"/>
  <c r="BB38" i="20"/>
  <c r="BC38" i="20"/>
  <c r="BD38" i="20"/>
  <c r="BE38" i="20"/>
  <c r="BF38" i="20"/>
  <c r="BG38" i="20"/>
  <c r="BH38" i="20"/>
  <c r="BI38" i="20"/>
  <c r="BJ38" i="20"/>
  <c r="AZ39" i="20"/>
  <c r="BA39" i="20"/>
  <c r="BB39" i="20"/>
  <c r="BC39" i="20"/>
  <c r="BD39" i="20"/>
  <c r="BE39" i="20"/>
  <c r="BF39" i="20"/>
  <c r="BG39" i="20"/>
  <c r="BH39" i="20"/>
  <c r="BI39" i="20"/>
  <c r="BJ39" i="20"/>
  <c r="AZ40" i="20"/>
  <c r="BA40" i="20"/>
  <c r="BB40" i="20"/>
  <c r="BC40" i="20"/>
  <c r="BD40" i="20"/>
  <c r="BE40" i="20"/>
  <c r="BF40" i="20"/>
  <c r="BG40" i="20"/>
  <c r="BH40" i="20"/>
  <c r="BI40" i="20"/>
  <c r="BJ40" i="20"/>
  <c r="AZ41" i="20"/>
  <c r="BA41" i="20"/>
  <c r="BB41" i="20"/>
  <c r="BC41" i="20"/>
  <c r="BD41" i="20"/>
  <c r="BE41" i="20"/>
  <c r="BF41" i="20"/>
  <c r="BG41" i="20"/>
  <c r="BH41" i="20"/>
  <c r="BI41" i="20"/>
  <c r="BJ41" i="20"/>
  <c r="AZ42" i="20"/>
  <c r="BA42" i="20"/>
  <c r="BB42" i="20"/>
  <c r="BC42" i="20"/>
  <c r="BD42" i="20"/>
  <c r="BE42" i="20"/>
  <c r="BF42" i="20"/>
  <c r="BG42" i="20"/>
  <c r="BH42" i="20"/>
  <c r="BI42" i="20"/>
  <c r="BJ42" i="20"/>
  <c r="AZ43" i="20"/>
  <c r="BA43" i="20"/>
  <c r="BB43" i="20"/>
  <c r="BC43" i="20"/>
  <c r="BD43" i="20"/>
  <c r="BE43" i="20"/>
  <c r="BF43" i="20"/>
  <c r="BG43" i="20"/>
  <c r="BH43" i="20"/>
  <c r="BI43" i="20"/>
  <c r="BJ43" i="20"/>
  <c r="AZ44" i="20"/>
  <c r="BA44" i="20"/>
  <c r="BB44" i="20"/>
  <c r="BC44" i="20"/>
  <c r="BD44" i="20"/>
  <c r="BE44" i="20"/>
  <c r="BF44" i="20"/>
  <c r="BG44" i="20"/>
  <c r="BH44" i="20"/>
  <c r="BI44" i="20"/>
  <c r="BJ44" i="20"/>
  <c r="AZ45" i="20"/>
  <c r="BA45" i="20"/>
  <c r="BB45" i="20"/>
  <c r="BC45" i="20"/>
  <c r="BD45" i="20"/>
  <c r="BE45" i="20"/>
  <c r="BF45" i="20"/>
  <c r="BG45" i="20"/>
  <c r="BH45" i="20"/>
  <c r="BI45" i="20"/>
  <c r="BJ45" i="20"/>
  <c r="AZ46" i="20"/>
  <c r="BA46" i="20"/>
  <c r="BB46" i="20"/>
  <c r="BC46" i="20"/>
  <c r="BD46" i="20"/>
  <c r="BE46" i="20"/>
  <c r="BF46" i="20"/>
  <c r="BG46" i="20"/>
  <c r="BH46" i="20"/>
  <c r="BI46" i="20"/>
  <c r="BJ46" i="20"/>
  <c r="AZ47" i="20"/>
  <c r="BA47" i="20"/>
  <c r="BB47" i="20"/>
  <c r="BC47" i="20"/>
  <c r="BD47" i="20"/>
  <c r="BE47" i="20"/>
  <c r="BF47" i="20"/>
  <c r="BG47" i="20"/>
  <c r="BH47" i="20"/>
  <c r="BI47" i="20"/>
  <c r="BJ47" i="20"/>
  <c r="AZ48" i="20"/>
  <c r="BA48" i="20"/>
  <c r="BB48" i="20"/>
  <c r="BC48" i="20"/>
  <c r="BD48" i="20"/>
  <c r="BE48" i="20"/>
  <c r="BF48" i="20"/>
  <c r="BG48" i="20"/>
  <c r="BH48" i="20"/>
  <c r="BI48" i="20"/>
  <c r="BJ48" i="20"/>
  <c r="AZ49" i="20"/>
  <c r="BA49" i="20"/>
  <c r="BB49" i="20"/>
  <c r="BC49" i="20"/>
  <c r="BD49" i="20"/>
  <c r="BE49" i="20"/>
  <c r="BF49" i="20"/>
  <c r="BG49" i="20"/>
  <c r="BH49" i="20"/>
  <c r="BI49" i="20"/>
  <c r="BJ49" i="20"/>
  <c r="AZ50" i="20"/>
  <c r="BA50" i="20"/>
  <c r="BB50" i="20"/>
  <c r="BC50" i="20"/>
  <c r="BD50" i="20"/>
  <c r="BE50" i="20"/>
  <c r="BF50" i="20"/>
  <c r="BG50" i="20"/>
  <c r="BH50" i="20"/>
  <c r="BI50" i="20"/>
  <c r="BJ50" i="20"/>
  <c r="AZ51" i="20"/>
  <c r="BA51" i="20"/>
  <c r="BB51" i="20"/>
  <c r="BC51" i="20"/>
  <c r="BD51" i="20"/>
  <c r="BE51" i="20"/>
  <c r="BF51" i="20"/>
  <c r="BG51" i="20"/>
  <c r="BH51" i="20"/>
  <c r="BI51" i="20"/>
  <c r="BJ51" i="20"/>
  <c r="AZ52" i="20"/>
  <c r="BA52" i="20"/>
  <c r="BB52" i="20"/>
  <c r="BC52" i="20"/>
  <c r="BD52" i="20"/>
  <c r="BE52" i="20"/>
  <c r="BF52" i="20"/>
  <c r="BG52" i="20"/>
  <c r="BH52" i="20"/>
  <c r="BI52" i="20"/>
  <c r="BJ52" i="20"/>
  <c r="AZ53" i="20"/>
  <c r="BA53" i="20"/>
  <c r="BB53" i="20"/>
  <c r="BC53" i="20"/>
  <c r="BD53" i="20"/>
  <c r="BE53" i="20"/>
  <c r="BF53" i="20"/>
  <c r="BG53" i="20"/>
  <c r="BH53" i="20"/>
  <c r="BI53" i="20"/>
  <c r="BJ53" i="20"/>
  <c r="AZ54" i="20"/>
  <c r="BA54" i="20"/>
  <c r="BB54" i="20"/>
  <c r="BC54" i="20"/>
  <c r="BD54" i="20"/>
  <c r="BE54" i="20"/>
  <c r="BF54" i="20"/>
  <c r="BG54" i="20"/>
  <c r="BH54" i="20"/>
  <c r="BI54" i="20"/>
  <c r="BJ54" i="20"/>
  <c r="AZ55" i="20"/>
  <c r="BA55" i="20"/>
  <c r="BB55" i="20"/>
  <c r="BC55" i="20"/>
  <c r="BD55" i="20"/>
  <c r="BE55" i="20"/>
  <c r="BF55" i="20"/>
  <c r="BG55" i="20"/>
  <c r="BH55" i="20"/>
  <c r="BI55" i="20"/>
  <c r="BJ55" i="20"/>
  <c r="AZ56" i="20"/>
  <c r="BA56" i="20"/>
  <c r="BB56" i="20"/>
  <c r="BC56" i="20"/>
  <c r="BD56" i="20"/>
  <c r="BE56" i="20"/>
  <c r="BF56" i="20"/>
  <c r="BG56" i="20"/>
  <c r="BH56" i="20"/>
  <c r="BI56" i="20"/>
  <c r="BJ56" i="20"/>
  <c r="AZ57" i="20"/>
  <c r="BA57" i="20"/>
  <c r="BB57" i="20"/>
  <c r="BC57" i="20"/>
  <c r="BD57" i="20"/>
  <c r="BE57" i="20"/>
  <c r="BF57" i="20"/>
  <c r="BG57" i="20"/>
  <c r="BH57" i="20"/>
  <c r="BI57" i="20"/>
  <c r="BJ57" i="20"/>
  <c r="AZ58" i="20"/>
  <c r="BA58" i="20"/>
  <c r="BB58" i="20"/>
  <c r="BC58" i="20"/>
  <c r="BD58" i="20"/>
  <c r="BE58" i="20"/>
  <c r="BF58" i="20"/>
  <c r="BG58" i="20"/>
  <c r="BH58" i="20"/>
  <c r="BI58" i="20"/>
  <c r="BJ58" i="20"/>
  <c r="AZ59" i="20"/>
  <c r="BA59" i="20"/>
  <c r="BB59" i="20"/>
  <c r="BC59" i="20"/>
  <c r="BD59" i="20"/>
  <c r="BE59" i="20"/>
  <c r="BF59" i="20"/>
  <c r="BG59" i="20"/>
  <c r="BH59" i="20"/>
  <c r="BI59" i="20"/>
  <c r="BJ59" i="20"/>
  <c r="AZ60" i="20"/>
  <c r="BA60" i="20"/>
  <c r="BB60" i="20"/>
  <c r="BC60" i="20"/>
  <c r="BD60" i="20"/>
  <c r="BE60" i="20"/>
  <c r="BF60" i="20"/>
  <c r="BG60" i="20"/>
  <c r="BH60" i="20"/>
  <c r="BI60" i="20"/>
  <c r="BJ60" i="20"/>
  <c r="AZ21" i="20"/>
  <c r="AU65" i="20"/>
  <c r="AU66" i="20"/>
  <c r="AU67" i="20"/>
  <c r="AU68" i="20"/>
  <c r="AU69" i="20"/>
  <c r="AU64" i="20"/>
  <c r="AT35" i="20"/>
  <c r="AT36" i="20"/>
  <c r="AT37" i="20"/>
  <c r="AT38" i="20"/>
  <c r="AT39" i="20"/>
  <c r="AT40" i="20"/>
  <c r="AT41" i="20"/>
  <c r="AT42" i="20"/>
  <c r="AT43" i="20"/>
  <c r="AT44" i="20"/>
  <c r="AT45" i="20"/>
  <c r="AT46" i="20"/>
  <c r="AT47" i="20"/>
  <c r="AT48" i="20"/>
  <c r="AT49" i="20"/>
  <c r="AT50" i="20"/>
  <c r="AT51" i="20"/>
  <c r="AT52" i="20"/>
  <c r="AT53" i="20"/>
  <c r="AT54" i="20"/>
  <c r="AT55" i="20"/>
  <c r="AT56" i="20"/>
  <c r="AT57" i="20"/>
  <c r="AT58" i="20"/>
  <c r="AT59" i="20"/>
  <c r="AT60" i="20"/>
  <c r="EM57" i="20" l="1"/>
  <c r="EO57" i="20" s="1"/>
  <c r="BQ57" i="20" s="1"/>
  <c r="FC21" i="20"/>
  <c r="FC36" i="20"/>
  <c r="CY67" i="20"/>
  <c r="DG70" i="20"/>
  <c r="CY74" i="20"/>
  <c r="CY66" i="20"/>
  <c r="DC70" i="20"/>
  <c r="FC58" i="20"/>
  <c r="FC57" i="20"/>
  <c r="FC54" i="20"/>
  <c r="FC53" i="20"/>
  <c r="FC50" i="20"/>
  <c r="FC49" i="20"/>
  <c r="FC46" i="20"/>
  <c r="FC45" i="20"/>
  <c r="FC42" i="20"/>
  <c r="FC41" i="20"/>
  <c r="FC38" i="20"/>
  <c r="FC37" i="20"/>
  <c r="FC34" i="20"/>
  <c r="FC33" i="20"/>
  <c r="FC30" i="20"/>
  <c r="FC29" i="20"/>
  <c r="FC26" i="20"/>
  <c r="FC25" i="20"/>
  <c r="FC22" i="20"/>
  <c r="CY71" i="20"/>
  <c r="DF63" i="20"/>
  <c r="DG68" i="20"/>
  <c r="CY70" i="20"/>
  <c r="DC72" i="20"/>
  <c r="FC60" i="20"/>
  <c r="FC59" i="20"/>
  <c r="FC56" i="20"/>
  <c r="FC55" i="20"/>
  <c r="FC52" i="20"/>
  <c r="FC51" i="20"/>
  <c r="FC48" i="20"/>
  <c r="FC47" i="20"/>
  <c r="FC44" i="20"/>
  <c r="FC43" i="20"/>
  <c r="FC40" i="20"/>
  <c r="FC39" i="20"/>
  <c r="FC35" i="20"/>
  <c r="FC32" i="20"/>
  <c r="FC31" i="20"/>
  <c r="FC28" i="20"/>
  <c r="FC27" i="20"/>
  <c r="FC24" i="20"/>
  <c r="FC23" i="20"/>
  <c r="CY73" i="20"/>
  <c r="CY69" i="20"/>
  <c r="CY65" i="20"/>
  <c r="DG74" i="20"/>
  <c r="DA73" i="20"/>
  <c r="DE71" i="20"/>
  <c r="DI69" i="20"/>
  <c r="DI73" i="20"/>
  <c r="EM41" i="20"/>
  <c r="EO41" i="20" s="1"/>
  <c r="BQ41" i="20" s="1"/>
  <c r="EM25" i="20"/>
  <c r="EO25" i="20" s="1"/>
  <c r="BQ25" i="20" s="1"/>
  <c r="DB63" i="20"/>
  <c r="DE73" i="20"/>
  <c r="DI71" i="20"/>
  <c r="DI67" i="20"/>
  <c r="CY72" i="20"/>
  <c r="CY68" i="20"/>
  <c r="DC74" i="20"/>
  <c r="DG72" i="20"/>
  <c r="DA71" i="20"/>
  <c r="DE69" i="20"/>
  <c r="DA69" i="20"/>
  <c r="DC68" i="20"/>
  <c r="DE67" i="20"/>
  <c r="DA67" i="20"/>
  <c r="DG66" i="20"/>
  <c r="DC66" i="20"/>
  <c r="DI65" i="20"/>
  <c r="DE65" i="20"/>
  <c r="DA65" i="20"/>
  <c r="DG64" i="20"/>
  <c r="DC64" i="20"/>
  <c r="DI63" i="20"/>
  <c r="DE63" i="20"/>
  <c r="DA63" i="20"/>
  <c r="DF74" i="20"/>
  <c r="DB74" i="20"/>
  <c r="DH73" i="20"/>
  <c r="DD73" i="20"/>
  <c r="CZ73" i="20"/>
  <c r="DF72" i="20"/>
  <c r="DB72" i="20"/>
  <c r="DH71" i="20"/>
  <c r="DD71" i="20"/>
  <c r="CZ71" i="20"/>
  <c r="DF70" i="20"/>
  <c r="DB70" i="20"/>
  <c r="DH69" i="20"/>
  <c r="DD69" i="20"/>
  <c r="CZ69" i="20"/>
  <c r="DF68" i="20"/>
  <c r="DB68" i="20"/>
  <c r="DH67" i="20"/>
  <c r="DD67" i="20"/>
  <c r="CZ67" i="20"/>
  <c r="DF66" i="20"/>
  <c r="DB66" i="20"/>
  <c r="DH65" i="20"/>
  <c r="DD65" i="20"/>
  <c r="CZ65" i="20"/>
  <c r="DF64" i="20"/>
  <c r="DB64" i="20"/>
  <c r="DH63" i="20"/>
  <c r="DD63" i="20"/>
  <c r="DI74" i="20"/>
  <c r="DE74" i="20"/>
  <c r="DA74" i="20"/>
  <c r="DG73" i="20"/>
  <c r="DC73" i="20"/>
  <c r="DI72" i="20"/>
  <c r="DE72" i="20"/>
  <c r="DA72" i="20"/>
  <c r="DG71" i="20"/>
  <c r="DC71" i="20"/>
  <c r="DI70" i="20"/>
  <c r="DE70" i="20"/>
  <c r="DA70" i="20"/>
  <c r="DG69" i="20"/>
  <c r="DC69" i="20"/>
  <c r="DI68" i="20"/>
  <c r="DE68" i="20"/>
  <c r="DA68" i="20"/>
  <c r="DG67" i="20"/>
  <c r="DC67" i="20"/>
  <c r="DI66" i="20"/>
  <c r="DE66" i="20"/>
  <c r="DA66" i="20"/>
  <c r="DG65" i="20"/>
  <c r="DC65" i="20"/>
  <c r="DH74" i="20"/>
  <c r="DD74" i="20"/>
  <c r="CZ74" i="20"/>
  <c r="DF73" i="20"/>
  <c r="DB73" i="20"/>
  <c r="DH72" i="20"/>
  <c r="DD72" i="20"/>
  <c r="CZ72" i="20"/>
  <c r="DF71" i="20"/>
  <c r="DB71" i="20"/>
  <c r="DH70" i="20"/>
  <c r="DD70" i="20"/>
  <c r="CZ70" i="20"/>
  <c r="DF69" i="20"/>
  <c r="DB69" i="20"/>
  <c r="DH68" i="20"/>
  <c r="DD68" i="20"/>
  <c r="CZ68" i="20"/>
  <c r="DF67" i="20"/>
  <c r="DB67" i="20"/>
  <c r="DH66" i="20"/>
  <c r="DD66" i="20"/>
  <c r="CZ66" i="20"/>
  <c r="DC61" i="20"/>
  <c r="DG62" i="20"/>
  <c r="DW58" i="20"/>
  <c r="DW54" i="20"/>
  <c r="DW50" i="20"/>
  <c r="DW46" i="20"/>
  <c r="DW42" i="20"/>
  <c r="DW38" i="20"/>
  <c r="DW34" i="20"/>
  <c r="DW30" i="20"/>
  <c r="DW22" i="20"/>
  <c r="DG61" i="20"/>
  <c r="CY63" i="20"/>
  <c r="CY62" i="20"/>
  <c r="EM53" i="20"/>
  <c r="EO53" i="20" s="1"/>
  <c r="BQ53" i="20" s="1"/>
  <c r="EM49" i="20"/>
  <c r="EO49" i="20" s="1"/>
  <c r="BQ49" i="20" s="1"/>
  <c r="EM45" i="20"/>
  <c r="EO45" i="20" s="1"/>
  <c r="BQ45" i="20" s="1"/>
  <c r="EM37" i="20"/>
  <c r="EO37" i="20" s="1"/>
  <c r="BQ37" i="20" s="1"/>
  <c r="EM33" i="20"/>
  <c r="EO33" i="20" s="1"/>
  <c r="BQ33" i="20" s="1"/>
  <c r="EM29" i="20"/>
  <c r="EO29" i="20" s="1"/>
  <c r="BQ29" i="20" s="1"/>
  <c r="CY61" i="20"/>
  <c r="DC62" i="20"/>
  <c r="CZ61" i="20"/>
  <c r="DD61" i="20"/>
  <c r="DH61" i="20"/>
  <c r="CZ62" i="20"/>
  <c r="DD62" i="20"/>
  <c r="DH62" i="20"/>
  <c r="CZ63" i="20"/>
  <c r="DA61" i="20"/>
  <c r="DE61" i="20"/>
  <c r="DI61" i="20"/>
  <c r="DA62" i="20"/>
  <c r="DE62" i="20"/>
  <c r="DI62" i="20"/>
  <c r="DB61" i="20"/>
  <c r="DF61" i="20"/>
  <c r="DB62" i="20"/>
  <c r="DF62" i="20"/>
  <c r="DW59" i="20"/>
  <c r="DW55" i="20"/>
  <c r="DW51" i="20"/>
  <c r="DW47" i="20"/>
  <c r="DW43" i="20"/>
  <c r="DW39" i="20"/>
  <c r="DW35" i="20"/>
  <c r="DW31" i="20"/>
  <c r="DW27" i="20"/>
  <c r="DW23" i="20"/>
  <c r="DW60" i="20"/>
  <c r="DW56" i="20"/>
  <c r="DW52" i="20"/>
  <c r="DW48" i="20"/>
  <c r="DW44" i="20"/>
  <c r="DW40" i="20"/>
  <c r="DW36" i="20"/>
  <c r="DW32" i="20"/>
  <c r="DW28" i="20"/>
  <c r="DW24" i="20"/>
  <c r="DW26" i="20"/>
  <c r="DW57" i="20"/>
  <c r="DW53" i="20"/>
  <c r="DW49" i="20"/>
  <c r="DW45" i="20"/>
  <c r="DW41" i="20"/>
  <c r="DW37" i="20"/>
  <c r="DW33" i="20"/>
  <c r="DW29" i="20"/>
  <c r="DW25" i="20"/>
  <c r="BK22" i="20"/>
  <c r="CF62" i="20"/>
  <c r="EM60" i="20"/>
  <c r="EO60" i="20" s="1"/>
  <c r="BQ60" i="20" s="1"/>
  <c r="EM59" i="20"/>
  <c r="EO59" i="20" s="1"/>
  <c r="BQ59" i="20" s="1"/>
  <c r="EM58" i="20"/>
  <c r="EO58" i="20" s="1"/>
  <c r="BQ58" i="20" s="1"/>
  <c r="EM56" i="20"/>
  <c r="EO56" i="20" s="1"/>
  <c r="BQ56" i="20" s="1"/>
  <c r="EM55" i="20"/>
  <c r="EO55" i="20" s="1"/>
  <c r="BQ55" i="20" s="1"/>
  <c r="EM54" i="20"/>
  <c r="EO54" i="20" s="1"/>
  <c r="BQ54" i="20" s="1"/>
  <c r="EM52" i="20"/>
  <c r="EO52" i="20" s="1"/>
  <c r="BQ52" i="20" s="1"/>
  <c r="EM51" i="20"/>
  <c r="EO51" i="20" s="1"/>
  <c r="BQ51" i="20" s="1"/>
  <c r="EM50" i="20"/>
  <c r="EO50" i="20" s="1"/>
  <c r="BQ50" i="20" s="1"/>
  <c r="EM48" i="20"/>
  <c r="EO48" i="20" s="1"/>
  <c r="BQ48" i="20" s="1"/>
  <c r="EM47" i="20"/>
  <c r="EO47" i="20" s="1"/>
  <c r="BQ47" i="20" s="1"/>
  <c r="EM46" i="20"/>
  <c r="EO46" i="20" s="1"/>
  <c r="BQ46" i="20" s="1"/>
  <c r="EM44" i="20"/>
  <c r="EO44" i="20" s="1"/>
  <c r="BQ44" i="20" s="1"/>
  <c r="EM43" i="20"/>
  <c r="EO43" i="20" s="1"/>
  <c r="BQ43" i="20" s="1"/>
  <c r="EM42" i="20"/>
  <c r="EO42" i="20" s="1"/>
  <c r="BQ42" i="20" s="1"/>
  <c r="EM40" i="20"/>
  <c r="EO40" i="20" s="1"/>
  <c r="BQ40" i="20" s="1"/>
  <c r="EM39" i="20"/>
  <c r="EO39" i="20" s="1"/>
  <c r="BQ39" i="20" s="1"/>
  <c r="EM38" i="20"/>
  <c r="EO38" i="20" s="1"/>
  <c r="BQ38" i="20" s="1"/>
  <c r="EM36" i="20"/>
  <c r="EO36" i="20" s="1"/>
  <c r="BQ36" i="20" s="1"/>
  <c r="EM35" i="20"/>
  <c r="EO35" i="20" s="1"/>
  <c r="BQ35" i="20" s="1"/>
  <c r="EM34" i="20"/>
  <c r="EO34" i="20" s="1"/>
  <c r="BQ34" i="20" s="1"/>
  <c r="EM32" i="20"/>
  <c r="EO32" i="20" s="1"/>
  <c r="BQ32" i="20" s="1"/>
  <c r="EM31" i="20"/>
  <c r="EO31" i="20" s="1"/>
  <c r="BQ31" i="20" s="1"/>
  <c r="EM30" i="20"/>
  <c r="EO30" i="20" s="1"/>
  <c r="BQ30" i="20" s="1"/>
  <c r="EM28" i="20"/>
  <c r="EO28" i="20" s="1"/>
  <c r="BQ28" i="20" s="1"/>
  <c r="EM27" i="20"/>
  <c r="EO27" i="20" s="1"/>
  <c r="BQ27" i="20" s="1"/>
  <c r="EM26" i="20"/>
  <c r="EO26" i="20" s="1"/>
  <c r="BQ26" i="20" s="1"/>
  <c r="EM24" i="20"/>
  <c r="EO24" i="20" s="1"/>
  <c r="BQ24" i="20" s="1"/>
  <c r="EM23" i="20"/>
  <c r="EO23" i="20" s="1"/>
  <c r="BQ23" i="20" s="1"/>
  <c r="EM22" i="20"/>
  <c r="EO22" i="20" s="1"/>
  <c r="BQ22" i="20" s="1"/>
  <c r="EM21" i="20"/>
  <c r="EO21" i="20" s="1"/>
  <c r="BQ21" i="20" s="1"/>
  <c r="CN61" i="20"/>
  <c r="CR61" i="20"/>
  <c r="CV61" i="20"/>
  <c r="CO62" i="20"/>
  <c r="CS62" i="20"/>
  <c r="CL63" i="20"/>
  <c r="CP63" i="20"/>
  <c r="CT63" i="20"/>
  <c r="CO61" i="20"/>
  <c r="CS61" i="20"/>
  <c r="CL62" i="20"/>
  <c r="CP62" i="20"/>
  <c r="CT62" i="20"/>
  <c r="CM63" i="20"/>
  <c r="CQ63" i="20"/>
  <c r="CU63" i="20"/>
  <c r="CM62" i="20"/>
  <c r="CQ62" i="20"/>
  <c r="CU62" i="20"/>
  <c r="CN63" i="20"/>
  <c r="CR63" i="20"/>
  <c r="CV63" i="20"/>
  <c r="BK60" i="20"/>
  <c r="BK56" i="20"/>
  <c r="BK52" i="20"/>
  <c r="BK48" i="20"/>
  <c r="BK44" i="20"/>
  <c r="BK25" i="20"/>
  <c r="BK40" i="20"/>
  <c r="BK36" i="20"/>
  <c r="BY74" i="20"/>
  <c r="BY70" i="20"/>
  <c r="BY66" i="20"/>
  <c r="BK34" i="20"/>
  <c r="BK32" i="20"/>
  <c r="BK30" i="20"/>
  <c r="BK28" i="20"/>
  <c r="BK26" i="20"/>
  <c r="BK23" i="20"/>
  <c r="BY63" i="20"/>
  <c r="BY73" i="20"/>
  <c r="BY69" i="20"/>
  <c r="BY65" i="20"/>
  <c r="BK58" i="20"/>
  <c r="BK54" i="20"/>
  <c r="BK50" i="20"/>
  <c r="BK46" i="20"/>
  <c r="BK42" i="20"/>
  <c r="BK38" i="20"/>
  <c r="BK24" i="20"/>
  <c r="CC63" i="20"/>
  <c r="BY72" i="20"/>
  <c r="BY68" i="20"/>
  <c r="BY64" i="20"/>
  <c r="BK59" i="20"/>
  <c r="BK57" i="20"/>
  <c r="BK55" i="20"/>
  <c r="BK53" i="20"/>
  <c r="BK51" i="20"/>
  <c r="BK49" i="20"/>
  <c r="BK47" i="20"/>
  <c r="BK45" i="20"/>
  <c r="BK43" i="20"/>
  <c r="BK41" i="20"/>
  <c r="BK39" i="20"/>
  <c r="BK37" i="20"/>
  <c r="BK35" i="20"/>
  <c r="BK33" i="20"/>
  <c r="BK31" i="20"/>
  <c r="BK29" i="20"/>
  <c r="BK27" i="20"/>
  <c r="CB62" i="20"/>
  <c r="CG63" i="20"/>
  <c r="BY71" i="20"/>
  <c r="BY67" i="20"/>
  <c r="CB61" i="20"/>
  <c r="CF61" i="20"/>
  <c r="BY62" i="20"/>
  <c r="CC62" i="20"/>
  <c r="CG62" i="20"/>
  <c r="BZ63" i="20"/>
  <c r="CD63" i="20"/>
  <c r="CH63" i="20"/>
  <c r="CA61" i="20"/>
  <c r="CE61" i="20"/>
  <c r="CI61" i="20"/>
  <c r="BZ62" i="20"/>
  <c r="CD62" i="20"/>
  <c r="CH62" i="20"/>
  <c r="CA63" i="20"/>
  <c r="CE63" i="20"/>
  <c r="CI63" i="20"/>
  <c r="AT18" i="20"/>
  <c r="AJ18" i="20" l="1"/>
  <c r="AJ64" i="20" s="1"/>
  <c r="AK18" i="20"/>
  <c r="AK63" i="20" s="1"/>
  <c r="AL18" i="20"/>
  <c r="AM18" i="20"/>
  <c r="AM63" i="20" s="1"/>
  <c r="AN18" i="20"/>
  <c r="AN63" i="20" s="1"/>
  <c r="AO18" i="20"/>
  <c r="AO63" i="20" s="1"/>
  <c r="AP18" i="20"/>
  <c r="AQ18" i="20"/>
  <c r="AQ63" i="20" s="1"/>
  <c r="AR18" i="20"/>
  <c r="AR63" i="20" s="1"/>
  <c r="AS18" i="20"/>
  <c r="AS63" i="20" s="1"/>
  <c r="AI18" i="20"/>
  <c r="AC36" i="20"/>
  <c r="AC37" i="20"/>
  <c r="AC38" i="20"/>
  <c r="AC39" i="20"/>
  <c r="AC40" i="20"/>
  <c r="AC41" i="20"/>
  <c r="AC42" i="20"/>
  <c r="AC43" i="20"/>
  <c r="AC44" i="20"/>
  <c r="AC45" i="20"/>
  <c r="AC46" i="20"/>
  <c r="AC47" i="20"/>
  <c r="AC48" i="20"/>
  <c r="AC49" i="20"/>
  <c r="AC50" i="20"/>
  <c r="AC51" i="20"/>
  <c r="AC52" i="20"/>
  <c r="AD64" i="20" s="1"/>
  <c r="AC53" i="20"/>
  <c r="AD65" i="20" s="1"/>
  <c r="AC54" i="20"/>
  <c r="AD66" i="20" s="1"/>
  <c r="AC55" i="20"/>
  <c r="AD67" i="20" s="1"/>
  <c r="AC56" i="20"/>
  <c r="AD68" i="20" s="1"/>
  <c r="AC57" i="20"/>
  <c r="AD69" i="20" s="1"/>
  <c r="AC58" i="20"/>
  <c r="AC59" i="20"/>
  <c r="AC60" i="20"/>
  <c r="AC35" i="20"/>
  <c r="T18" i="20"/>
  <c r="CN64" i="20" s="1"/>
  <c r="U18" i="20"/>
  <c r="CO64" i="20" s="1"/>
  <c r="V18" i="20"/>
  <c r="CP64" i="20" s="1"/>
  <c r="W18" i="20"/>
  <c r="CQ64" i="20" s="1"/>
  <c r="X18" i="20"/>
  <c r="CR64" i="20" s="1"/>
  <c r="Y18" i="20"/>
  <c r="CS64" i="20" s="1"/>
  <c r="Z18" i="20"/>
  <c r="CT64" i="20" s="1"/>
  <c r="AA18" i="20"/>
  <c r="CU64" i="20" s="1"/>
  <c r="AB18" i="20"/>
  <c r="CV64" i="20" s="1"/>
  <c r="H18" i="20"/>
  <c r="I18" i="20"/>
  <c r="I61" i="20" s="1"/>
  <c r="EY61" i="20" s="1"/>
  <c r="J18" i="20"/>
  <c r="J61" i="20" s="1"/>
  <c r="EZ61" i="20" s="1"/>
  <c r="K18" i="20"/>
  <c r="K63" i="20" s="1"/>
  <c r="FA63" i="20" s="1"/>
  <c r="L18" i="20"/>
  <c r="C18" i="20"/>
  <c r="C63" i="20" s="1"/>
  <c r="ES63" i="20" s="1"/>
  <c r="D18" i="20"/>
  <c r="D62" i="20" s="1"/>
  <c r="ET62" i="20" s="1"/>
  <c r="E18" i="20"/>
  <c r="E61" i="20" s="1"/>
  <c r="EU61" i="20" s="1"/>
  <c r="F18" i="20"/>
  <c r="G18" i="20"/>
  <c r="G63" i="20" s="1"/>
  <c r="EW63" i="20" s="1"/>
  <c r="B18" i="20"/>
  <c r="B61" i="20" s="1"/>
  <c r="ER61" i="20" s="1"/>
  <c r="S18" i="20"/>
  <c r="CM64" i="20" s="1"/>
  <c r="S77" i="20" l="1"/>
  <c r="S76" i="20"/>
  <c r="E83" i="20"/>
  <c r="E82" i="20"/>
  <c r="E81" i="20"/>
  <c r="AA63" i="20"/>
  <c r="W63" i="20"/>
  <c r="DU63" i="20"/>
  <c r="EK63" i="20"/>
  <c r="DQ63" i="20"/>
  <c r="EG63" i="20"/>
  <c r="CU65" i="20"/>
  <c r="CQ65" i="20"/>
  <c r="DT63" i="20"/>
  <c r="EJ63" i="20"/>
  <c r="DP63" i="20"/>
  <c r="EF63" i="20"/>
  <c r="S61" i="20"/>
  <c r="CT65" i="20"/>
  <c r="CP65" i="20"/>
  <c r="AB63" i="20"/>
  <c r="X63" i="20"/>
  <c r="T63" i="20"/>
  <c r="DV63" i="20"/>
  <c r="EL63" i="20"/>
  <c r="DR63" i="20"/>
  <c r="EH63" i="20"/>
  <c r="DN63" i="20"/>
  <c r="ED63" i="20"/>
  <c r="BI63" i="20"/>
  <c r="BE63" i="20"/>
  <c r="Y61" i="20"/>
  <c r="Y63" i="20"/>
  <c r="U61" i="20"/>
  <c r="U63" i="20"/>
  <c r="AV68" i="20"/>
  <c r="AV65" i="20"/>
  <c r="AV69" i="20"/>
  <c r="AV67" i="20"/>
  <c r="AV66" i="20"/>
  <c r="AV64" i="20"/>
  <c r="AP67" i="20"/>
  <c r="AP70" i="20"/>
  <c r="AP64" i="20"/>
  <c r="EI64" i="20" s="1"/>
  <c r="AP68" i="20"/>
  <c r="AP66" i="20"/>
  <c r="AP65" i="20"/>
  <c r="AP69" i="20"/>
  <c r="AL65" i="20"/>
  <c r="AL66" i="20"/>
  <c r="AL64" i="20"/>
  <c r="EE64" i="20" s="1"/>
  <c r="AR61" i="20"/>
  <c r="AN61" i="20"/>
  <c r="AJ61" i="20"/>
  <c r="AQ62" i="20"/>
  <c r="AM62" i="20"/>
  <c r="AS66" i="20"/>
  <c r="AS70" i="20"/>
  <c r="AS65" i="20"/>
  <c r="AS67" i="20"/>
  <c r="AS71" i="20"/>
  <c r="AS69" i="20"/>
  <c r="AS64" i="20"/>
  <c r="AS68" i="20"/>
  <c r="AS72" i="20"/>
  <c r="AS73" i="20"/>
  <c r="AO64" i="20"/>
  <c r="AO68" i="20"/>
  <c r="AO65" i="20"/>
  <c r="AO69" i="20"/>
  <c r="AO66" i="20"/>
  <c r="AO67" i="20"/>
  <c r="AK65" i="20"/>
  <c r="AK64" i="20"/>
  <c r="AQ61" i="20"/>
  <c r="EJ61" i="20" s="1"/>
  <c r="AM61" i="20"/>
  <c r="AI61" i="20"/>
  <c r="AJ63" i="20"/>
  <c r="EC63" i="20" s="1"/>
  <c r="AP62" i="20"/>
  <c r="AL62" i="20"/>
  <c r="AC18" i="20"/>
  <c r="AC61" i="20" s="1"/>
  <c r="AR64" i="20"/>
  <c r="AR68" i="20"/>
  <c r="AR72" i="20"/>
  <c r="AR65" i="20"/>
  <c r="AR69" i="20"/>
  <c r="AR71" i="20"/>
  <c r="AR66" i="20"/>
  <c r="AR70" i="20"/>
  <c r="AR67" i="20"/>
  <c r="AN66" i="20"/>
  <c r="AN67" i="20"/>
  <c r="AN65" i="20"/>
  <c r="AN64" i="20"/>
  <c r="AN68" i="20"/>
  <c r="AP61" i="20"/>
  <c r="EI61" i="20" s="1"/>
  <c r="AL61" i="20"/>
  <c r="EE61" i="20" s="1"/>
  <c r="AI62" i="20"/>
  <c r="AS62" i="20"/>
  <c r="AO62" i="20"/>
  <c r="AK62" i="20"/>
  <c r="ED62" i="20" s="1"/>
  <c r="Z62" i="20"/>
  <c r="Z63" i="20"/>
  <c r="V62" i="20"/>
  <c r="V63" i="20"/>
  <c r="AQ66" i="20"/>
  <c r="AQ70" i="20"/>
  <c r="AQ65" i="20"/>
  <c r="AQ71" i="20"/>
  <c r="AQ67" i="20"/>
  <c r="AQ64" i="20"/>
  <c r="EJ64" i="20" s="1"/>
  <c r="AQ68" i="20"/>
  <c r="AQ69" i="20"/>
  <c r="AM65" i="20"/>
  <c r="AM66" i="20"/>
  <c r="AM67" i="20"/>
  <c r="AM64" i="20"/>
  <c r="EF64" i="20" s="1"/>
  <c r="AS61" i="20"/>
  <c r="AO61" i="20"/>
  <c r="AK61" i="20"/>
  <c r="AI63" i="20"/>
  <c r="AP63" i="20"/>
  <c r="AL63" i="20"/>
  <c r="AR62" i="20"/>
  <c r="AN62" i="20"/>
  <c r="AJ62" i="20"/>
  <c r="G61" i="20"/>
  <c r="EW61" i="20" s="1"/>
  <c r="J62" i="20"/>
  <c r="EZ62" i="20" s="1"/>
  <c r="J63" i="20"/>
  <c r="D61" i="20"/>
  <c r="ET61" i="20" s="1"/>
  <c r="G62" i="20"/>
  <c r="EW62" i="20" s="1"/>
  <c r="I63" i="20"/>
  <c r="EY63" i="20" s="1"/>
  <c r="C61" i="20"/>
  <c r="ES61" i="20" s="1"/>
  <c r="C62" i="20"/>
  <c r="ES62" i="20" s="1"/>
  <c r="T61" i="20"/>
  <c r="K62" i="20"/>
  <c r="FA62" i="20" s="1"/>
  <c r="B63" i="20"/>
  <c r="ER63" i="20" s="1"/>
  <c r="AB62" i="20"/>
  <c r="T62" i="20"/>
  <c r="AB61" i="20"/>
  <c r="Y62" i="20"/>
  <c r="U62" i="20"/>
  <c r="X61" i="20"/>
  <c r="X62" i="20"/>
  <c r="L62" i="20"/>
  <c r="FB62" i="20" s="1"/>
  <c r="L63" i="20"/>
  <c r="L61" i="20"/>
  <c r="FB61" i="20" s="1"/>
  <c r="AA62" i="20"/>
  <c r="AA61" i="20"/>
  <c r="F62" i="20"/>
  <c r="EV62" i="20" s="1"/>
  <c r="F61" i="20"/>
  <c r="EV61" i="20" s="1"/>
  <c r="F63" i="20"/>
  <c r="H62" i="20"/>
  <c r="EX62" i="20" s="1"/>
  <c r="H61" i="20"/>
  <c r="EX61" i="20" s="1"/>
  <c r="H63" i="20"/>
  <c r="W61" i="20"/>
  <c r="W62" i="20"/>
  <c r="E63" i="20"/>
  <c r="EU63" i="20" s="1"/>
  <c r="Z61" i="20"/>
  <c r="V61" i="20"/>
  <c r="B62" i="20"/>
  <c r="ER62" i="20" s="1"/>
  <c r="I62" i="20"/>
  <c r="EY62" i="20" s="1"/>
  <c r="E62" i="20"/>
  <c r="EU62" i="20" s="1"/>
  <c r="D63" i="20"/>
  <c r="K61" i="20"/>
  <c r="FA61" i="20" s="1"/>
  <c r="S62" i="20"/>
  <c r="S63" i="20"/>
  <c r="FC61" i="20" l="1"/>
  <c r="FC62" i="20"/>
  <c r="BH63" i="20"/>
  <c r="EZ63" i="20"/>
  <c r="BB63" i="20"/>
  <c r="ET63" i="20"/>
  <c r="BD63" i="20"/>
  <c r="EV63" i="20"/>
  <c r="BF63" i="20"/>
  <c r="EX63" i="20"/>
  <c r="BJ63" i="20"/>
  <c r="FB63" i="20"/>
  <c r="DM62" i="20"/>
  <c r="EC62" i="20"/>
  <c r="DS63" i="20"/>
  <c r="EI63" i="20"/>
  <c r="DV61" i="20"/>
  <c r="EL61" i="20"/>
  <c r="EB62" i="20"/>
  <c r="DL62" i="20"/>
  <c r="DM61" i="20"/>
  <c r="EC61" i="20"/>
  <c r="CR65" i="20"/>
  <c r="EG64" i="20"/>
  <c r="DQ62" i="20"/>
  <c r="EG62" i="20"/>
  <c r="EB63" i="20"/>
  <c r="DL63" i="20"/>
  <c r="DL61" i="20"/>
  <c r="EB61" i="20"/>
  <c r="DQ61" i="20"/>
  <c r="EG61" i="20"/>
  <c r="EH64" i="20"/>
  <c r="CS65" i="20"/>
  <c r="CQ66" i="20"/>
  <c r="EF65" i="20"/>
  <c r="CN65" i="20"/>
  <c r="EC64" i="20"/>
  <c r="CV66" i="20"/>
  <c r="EL66" i="20" s="1"/>
  <c r="EK65" i="20"/>
  <c r="DU62" i="20"/>
  <c r="EK62" i="20"/>
  <c r="DN61" i="20"/>
  <c r="ED61" i="20"/>
  <c r="DR62" i="20"/>
  <c r="EH62" i="20"/>
  <c r="DO62" i="20"/>
  <c r="EE62" i="20"/>
  <c r="DP61" i="20"/>
  <c r="EF61" i="20"/>
  <c r="DP62" i="20"/>
  <c r="EF62" i="20"/>
  <c r="DU61" i="20"/>
  <c r="EK61" i="20"/>
  <c r="CV65" i="20"/>
  <c r="EL65" i="20" s="1"/>
  <c r="EK64" i="20"/>
  <c r="DO63" i="20"/>
  <c r="EE63" i="20"/>
  <c r="DR61" i="20"/>
  <c r="EH61" i="20"/>
  <c r="DV62" i="20"/>
  <c r="EL62" i="20"/>
  <c r="DS62" i="20"/>
  <c r="EI62" i="20"/>
  <c r="DT62" i="20"/>
  <c r="EJ62" i="20"/>
  <c r="ED64" i="20"/>
  <c r="CO65" i="20"/>
  <c r="EL64" i="20"/>
  <c r="CU66" i="20"/>
  <c r="EJ65" i="20"/>
  <c r="CR66" i="20"/>
  <c r="EG65" i="20"/>
  <c r="BG61" i="20"/>
  <c r="DS61" i="20"/>
  <c r="BH61" i="20"/>
  <c r="DT61" i="20"/>
  <c r="BA63" i="20"/>
  <c r="DM63" i="20"/>
  <c r="BB62" i="20"/>
  <c r="DN62" i="20"/>
  <c r="BC61" i="20"/>
  <c r="DO61" i="20"/>
  <c r="BB61" i="20"/>
  <c r="BE61" i="20"/>
  <c r="AT61" i="20"/>
  <c r="BC63" i="20"/>
  <c r="BF61" i="20"/>
  <c r="BF62" i="20"/>
  <c r="BC62" i="20"/>
  <c r="BD61" i="20"/>
  <c r="BD62" i="20"/>
  <c r="BI61" i="20"/>
  <c r="AT63" i="20"/>
  <c r="BA62" i="20"/>
  <c r="BG63" i="20"/>
  <c r="BJ61" i="20"/>
  <c r="BJ62" i="20"/>
  <c r="BG62" i="20"/>
  <c r="BH62" i="20"/>
  <c r="BI62" i="20"/>
  <c r="AZ61" i="20"/>
  <c r="BE62" i="20"/>
  <c r="AZ63" i="20"/>
  <c r="AC62" i="20"/>
  <c r="AZ62" i="20"/>
  <c r="BA61" i="20"/>
  <c r="AE64" i="20"/>
  <c r="AE67" i="20"/>
  <c r="AE66" i="20"/>
  <c r="AE68" i="20"/>
  <c r="AE65" i="20"/>
  <c r="AE69" i="20"/>
  <c r="AT62" i="20"/>
  <c r="AC63" i="20"/>
  <c r="FC63" i="20" l="1"/>
  <c r="DW63" i="20"/>
  <c r="DW62" i="20"/>
  <c r="CV67" i="20"/>
  <c r="EL67" i="20" s="1"/>
  <c r="EK66" i="20"/>
  <c r="CR67" i="20"/>
  <c r="EG66" i="20"/>
  <c r="EM61" i="20"/>
  <c r="EO61" i="20" s="1"/>
  <c r="BQ61" i="20" s="1"/>
  <c r="CS67" i="20"/>
  <c r="EH66" i="20"/>
  <c r="EE65" i="20"/>
  <c r="CP66" i="20"/>
  <c r="EM62" i="20"/>
  <c r="EO62" i="20" s="1"/>
  <c r="BQ62" i="20" s="1"/>
  <c r="EI65" i="20"/>
  <c r="CT66" i="20"/>
  <c r="EM63" i="20"/>
  <c r="EO63" i="20" s="1"/>
  <c r="BQ63" i="20" s="1"/>
  <c r="CS66" i="20"/>
  <c r="EH65" i="20"/>
  <c r="DW61" i="20"/>
  <c r="ED65" i="20"/>
  <c r="CO66" i="20"/>
  <c r="BK63" i="20"/>
  <c r="BK61" i="20"/>
  <c r="BK62" i="20"/>
  <c r="EE66" i="20" l="1"/>
  <c r="CP67" i="20"/>
  <c r="CT67" i="20"/>
  <c r="EI66" i="20"/>
  <c r="CS68" i="20"/>
  <c r="EH67" i="20"/>
  <c r="CT68" i="20"/>
  <c r="EI67" i="20"/>
  <c r="EJ66" i="20"/>
  <c r="CU67" i="20"/>
  <c r="EF66" i="20"/>
  <c r="CQ67" i="20"/>
  <c r="EG67" i="20" l="1"/>
  <c r="CR68" i="20"/>
  <c r="CU69" i="20"/>
  <c r="EJ68" i="20"/>
  <c r="CU68" i="20"/>
  <c r="EJ67" i="20"/>
  <c r="EK67" i="20"/>
  <c r="CV68" i="20"/>
  <c r="EL68" i="20" s="1"/>
  <c r="CQ68" i="20"/>
  <c r="EF67" i="20"/>
  <c r="CT69" i="20"/>
  <c r="EI68" i="20"/>
  <c r="CU70" i="20" l="1"/>
  <c r="EJ69" i="20"/>
  <c r="CV70" i="20"/>
  <c r="EL70" i="20" s="1"/>
  <c r="EK69" i="20"/>
  <c r="CS69" i="20"/>
  <c r="EH68" i="20"/>
  <c r="CR69" i="20"/>
  <c r="EG68" i="20"/>
  <c r="CV69" i="20"/>
  <c r="EL69" i="20" s="1"/>
  <c r="EK68" i="20"/>
  <c r="CS70" i="20" l="1"/>
  <c r="EH69" i="20"/>
  <c r="CT70" i="20"/>
  <c r="EI69" i="20"/>
  <c r="CV71" i="20"/>
  <c r="EL71" i="20" s="1"/>
  <c r="EK70" i="20"/>
  <c r="CU71" i="20" l="1"/>
  <c r="EJ70" i="20"/>
  <c r="CT71" i="20"/>
  <c r="EI70" i="20"/>
  <c r="AI76" i="20"/>
  <c r="CU72" i="20" l="1"/>
  <c r="EJ71" i="20"/>
  <c r="CV72" i="20"/>
  <c r="EL72" i="20" s="1"/>
  <c r="EK71" i="20"/>
  <c r="AM76" i="20"/>
  <c r="AN76" i="20"/>
  <c r="AK76" i="20"/>
  <c r="AJ76" i="20"/>
  <c r="AL76" i="20"/>
  <c r="DY57" i="20"/>
  <c r="BO57" i="20" s="1"/>
  <c r="DY53" i="20"/>
  <c r="BO53" i="20" s="1"/>
  <c r="DY43" i="20"/>
  <c r="BO43" i="20" s="1"/>
  <c r="DY38" i="20"/>
  <c r="BO38" i="20" s="1"/>
  <c r="DY35" i="20"/>
  <c r="BO35" i="20" s="1"/>
  <c r="DY30" i="20"/>
  <c r="BO30" i="20" s="1"/>
  <c r="DY39" i="20"/>
  <c r="BO39" i="20" s="1"/>
  <c r="DY23" i="20"/>
  <c r="BO23" i="20" s="1"/>
  <c r="DY60" i="20"/>
  <c r="BO60" i="20" s="1"/>
  <c r="DY47" i="20"/>
  <c r="BO47" i="20" s="1"/>
  <c r="DY31" i="20"/>
  <c r="BO31" i="20" s="1"/>
  <c r="DY22" i="20"/>
  <c r="BO22" i="20" s="1"/>
  <c r="DY46" i="20"/>
  <c r="BO46" i="20" s="1"/>
  <c r="DY51" i="20"/>
  <c r="BO51" i="20" s="1"/>
  <c r="DY59" i="20"/>
  <c r="BO59" i="20" s="1"/>
  <c r="DY41" i="20"/>
  <c r="BO41" i="20" s="1"/>
  <c r="DY37" i="20"/>
  <c r="BO37" i="20" s="1"/>
  <c r="DY29" i="20"/>
  <c r="BO29" i="20" s="1"/>
  <c r="DY56" i="20"/>
  <c r="BO56" i="20" s="1"/>
  <c r="DY27" i="20"/>
  <c r="BO27" i="20" s="1"/>
  <c r="DY55" i="20"/>
  <c r="BO55" i="20" s="1"/>
  <c r="DY49" i="20"/>
  <c r="BO49" i="20" s="1"/>
  <c r="DY45" i="20"/>
  <c r="BO45" i="20" s="1"/>
  <c r="DY33" i="20"/>
  <c r="BO33" i="20" s="1"/>
  <c r="DY25" i="20"/>
  <c r="BO25" i="20" s="1"/>
  <c r="DY50" i="20"/>
  <c r="BO50" i="20" s="1"/>
  <c r="DY42" i="20"/>
  <c r="BO42" i="20" s="1"/>
  <c r="DY34" i="20"/>
  <c r="BO34" i="20" s="1"/>
  <c r="DY26" i="20"/>
  <c r="BO26" i="20" s="1"/>
  <c r="DW21" i="20"/>
  <c r="DY21" i="20" s="1"/>
  <c r="BO21" i="20" s="1"/>
  <c r="DY58" i="20"/>
  <c r="BO58" i="20" s="1"/>
  <c r="DY54" i="20"/>
  <c r="BO54" i="20" s="1"/>
  <c r="DY52" i="20"/>
  <c r="BO52" i="20" s="1"/>
  <c r="DY48" i="20"/>
  <c r="BO48" i="20" s="1"/>
  <c r="DY44" i="20"/>
  <c r="BO44" i="20" s="1"/>
  <c r="DY40" i="20"/>
  <c r="BO40" i="20" s="1"/>
  <c r="DY36" i="20"/>
  <c r="BO36" i="20" s="1"/>
  <c r="DY32" i="20"/>
  <c r="BO32" i="20" s="1"/>
  <c r="DY28" i="20"/>
  <c r="BO28" i="20" s="1"/>
  <c r="DY24" i="20"/>
  <c r="BO24" i="20" s="1"/>
  <c r="CV73" i="20" l="1"/>
  <c r="EL73" i="20" s="1"/>
  <c r="EK72" i="20"/>
  <c r="DY61" i="20" l="1"/>
  <c r="BO61" i="20" s="1"/>
  <c r="AC19" i="20"/>
  <c r="M69" i="20"/>
  <c r="M68" i="20"/>
  <c r="M67" i="20"/>
  <c r="M66" i="20"/>
  <c r="M65" i="20"/>
  <c r="M64" i="20"/>
  <c r="AT19" i="20" l="1"/>
  <c r="AJ19" i="20"/>
  <c r="AN19" i="20"/>
  <c r="AR19" i="20"/>
  <c r="AK19" i="20"/>
  <c r="AO19" i="20"/>
  <c r="AS19" i="20"/>
  <c r="AL19" i="20"/>
  <c r="AP19" i="20"/>
  <c r="AI19" i="20"/>
  <c r="AM19" i="20"/>
  <c r="AQ19" i="20"/>
  <c r="S19" i="20"/>
  <c r="Y19" i="20"/>
  <c r="AA19" i="20"/>
  <c r="Z19" i="20"/>
  <c r="AB19" i="20"/>
  <c r="FE21" i="20"/>
  <c r="BP21" i="20" s="1"/>
  <c r="FE29" i="20"/>
  <c r="BP29" i="20" s="1"/>
  <c r="FE37" i="20"/>
  <c r="BP37" i="20" s="1"/>
  <c r="FE41" i="20"/>
  <c r="BP41" i="20" s="1"/>
  <c r="FE45" i="20"/>
  <c r="BP45" i="20" s="1"/>
  <c r="FE49" i="20"/>
  <c r="BP49" i="20" s="1"/>
  <c r="FE53" i="20"/>
  <c r="BP53" i="20" s="1"/>
  <c r="FE57" i="20"/>
  <c r="BP57" i="20" s="1"/>
  <c r="FE25" i="20"/>
  <c r="BP25" i="20" s="1"/>
  <c r="FE33" i="20"/>
  <c r="BP33" i="20" s="1"/>
  <c r="FE22" i="20"/>
  <c r="BP22" i="20" s="1"/>
  <c r="FE26" i="20"/>
  <c r="BP26" i="20" s="1"/>
  <c r="FE30" i="20"/>
  <c r="BP30" i="20" s="1"/>
  <c r="FE34" i="20"/>
  <c r="BP34" i="20" s="1"/>
  <c r="FE38" i="20"/>
  <c r="BP38" i="20" s="1"/>
  <c r="FE42" i="20"/>
  <c r="BP42" i="20" s="1"/>
  <c r="FE46" i="20"/>
  <c r="BP46" i="20" s="1"/>
  <c r="FE50" i="20"/>
  <c r="BP50" i="20" s="1"/>
  <c r="FE54" i="20"/>
  <c r="BP54" i="20" s="1"/>
  <c r="FE58" i="20"/>
  <c r="BP58" i="20" s="1"/>
  <c r="FE23" i="20"/>
  <c r="BP23" i="20" s="1"/>
  <c r="FE31" i="20"/>
  <c r="BP31" i="20" s="1"/>
  <c r="FE39" i="20"/>
  <c r="BP39" i="20" s="1"/>
  <c r="FE43" i="20"/>
  <c r="BP43" i="20" s="1"/>
  <c r="FE47" i="20"/>
  <c r="BP47" i="20" s="1"/>
  <c r="FE51" i="20"/>
  <c r="BP51" i="20" s="1"/>
  <c r="FE55" i="20"/>
  <c r="BP55" i="20" s="1"/>
  <c r="FE59" i="20"/>
  <c r="BP59" i="20" s="1"/>
  <c r="FE27" i="20"/>
  <c r="BP27" i="20" s="1"/>
  <c r="FE35" i="20"/>
  <c r="BP35" i="20" s="1"/>
  <c r="FE24" i="20"/>
  <c r="BP24" i="20" s="1"/>
  <c r="FE28" i="20"/>
  <c r="BP28" i="20" s="1"/>
  <c r="FE32" i="20"/>
  <c r="BP32" i="20" s="1"/>
  <c r="FE36" i="20"/>
  <c r="BP36" i="20" s="1"/>
  <c r="FE40" i="20"/>
  <c r="BP40" i="20" s="1"/>
  <c r="FE44" i="20"/>
  <c r="BP44" i="20" s="1"/>
  <c r="FE48" i="20"/>
  <c r="BP48" i="20" s="1"/>
  <c r="FE52" i="20"/>
  <c r="BP52" i="20" s="1"/>
  <c r="FE56" i="20"/>
  <c r="BP56" i="20" s="1"/>
  <c r="FE60" i="20"/>
  <c r="BP60" i="20" s="1"/>
  <c r="B77" i="20"/>
  <c r="B76" i="20"/>
  <c r="N64" i="20" l="1"/>
  <c r="N67" i="20"/>
  <c r="N69" i="20"/>
  <c r="N65" i="20"/>
  <c r="N66" i="20"/>
  <c r="N68" i="20"/>
  <c r="B19" i="20"/>
  <c r="F76" i="20"/>
  <c r="G76" i="20"/>
  <c r="D76" i="20"/>
  <c r="C76" i="20"/>
  <c r="E76" i="20"/>
  <c r="G77" i="20"/>
  <c r="D77" i="20"/>
  <c r="C77" i="20"/>
  <c r="E77" i="20"/>
  <c r="F77" i="20"/>
  <c r="G5" i="20" l="1"/>
  <c r="F5" i="20"/>
  <c r="BV63" i="20" l="1"/>
  <c r="H5" i="20"/>
  <c r="BK21" i="20" l="1"/>
  <c r="X4" i="20"/>
  <c r="X8" i="20"/>
  <c r="X12" i="20"/>
  <c r="R6" i="20"/>
  <c r="R10" i="20"/>
  <c r="X5" i="20"/>
  <c r="X9" i="20"/>
  <c r="X13" i="20"/>
  <c r="R7" i="20"/>
  <c r="R11" i="20"/>
  <c r="X6" i="20"/>
  <c r="X10" i="20"/>
  <c r="X14" i="20"/>
  <c r="R4" i="20"/>
  <c r="R8" i="20"/>
  <c r="R12" i="20"/>
  <c r="X7" i="20"/>
  <c r="X11" i="20"/>
  <c r="R5" i="20"/>
  <c r="R9" i="20"/>
  <c r="R13" i="20"/>
  <c r="T19" i="20"/>
  <c r="X19" i="20"/>
  <c r="U19" i="20"/>
  <c r="W19" i="20"/>
  <c r="V19" i="20"/>
  <c r="AC69" i="20" l="1"/>
  <c r="AF69" i="20" s="1"/>
  <c r="AC72" i="20"/>
  <c r="AC65" i="20"/>
  <c r="AF65" i="20" s="1"/>
  <c r="AC64" i="20"/>
  <c r="AF64" i="20" s="1"/>
  <c r="AC73" i="20"/>
  <c r="AC68" i="20"/>
  <c r="AF68" i="20" s="1"/>
  <c r="AC67" i="20"/>
  <c r="AF67" i="20" s="1"/>
  <c r="AC74" i="20"/>
  <c r="AC70" i="20"/>
  <c r="AC66" i="20"/>
  <c r="AF66" i="20" s="1"/>
  <c r="AC71" i="20"/>
  <c r="S73" i="20"/>
  <c r="BZ73" i="20" s="1"/>
  <c r="W73" i="20"/>
  <c r="AA73" i="20"/>
  <c r="U73" i="20"/>
  <c r="T73" i="20"/>
  <c r="X73" i="20"/>
  <c r="AB73" i="20"/>
  <c r="Y73" i="20"/>
  <c r="V73" i="20"/>
  <c r="Z73" i="20"/>
  <c r="S67" i="20"/>
  <c r="BZ67" i="20" s="1"/>
  <c r="W67" i="20"/>
  <c r="AA67" i="20"/>
  <c r="Y67" i="20"/>
  <c r="Z67" i="20"/>
  <c r="T67" i="20"/>
  <c r="X67" i="20"/>
  <c r="AB67" i="20"/>
  <c r="U67" i="20"/>
  <c r="V67" i="20"/>
  <c r="U74" i="20"/>
  <c r="Y74" i="20"/>
  <c r="S74" i="20"/>
  <c r="BZ74" i="20" s="1"/>
  <c r="V74" i="20"/>
  <c r="Z74" i="20"/>
  <c r="W74" i="20"/>
  <c r="AA74" i="20"/>
  <c r="AB74" i="20"/>
  <c r="T74" i="20"/>
  <c r="X74" i="20"/>
  <c r="S69" i="20"/>
  <c r="BZ69" i="20" s="1"/>
  <c r="W69" i="20"/>
  <c r="AA69" i="20"/>
  <c r="U69" i="20"/>
  <c r="T69" i="20"/>
  <c r="X69" i="20"/>
  <c r="AB69" i="20"/>
  <c r="Y69" i="20"/>
  <c r="V69" i="20"/>
  <c r="Z69" i="20"/>
  <c r="U72" i="20"/>
  <c r="Y72" i="20"/>
  <c r="W72" i="20"/>
  <c r="V72" i="20"/>
  <c r="Z72" i="20"/>
  <c r="S72" i="20"/>
  <c r="BZ72" i="20" s="1"/>
  <c r="AA72" i="20"/>
  <c r="AB72" i="20"/>
  <c r="T72" i="20"/>
  <c r="X72" i="20"/>
  <c r="U70" i="20"/>
  <c r="Y70" i="20"/>
  <c r="W70" i="20"/>
  <c r="AA70" i="20"/>
  <c r="V70" i="20"/>
  <c r="Z70" i="20"/>
  <c r="S70" i="20"/>
  <c r="BZ70" i="20" s="1"/>
  <c r="T70" i="20"/>
  <c r="X70" i="20"/>
  <c r="AB70" i="20"/>
  <c r="S65" i="20"/>
  <c r="BZ65" i="20" s="1"/>
  <c r="W65" i="20"/>
  <c r="AA65" i="20"/>
  <c r="Y65" i="20"/>
  <c r="V65" i="20"/>
  <c r="T65" i="20"/>
  <c r="X65" i="20"/>
  <c r="AB65" i="20"/>
  <c r="U65" i="20"/>
  <c r="Z65" i="20"/>
  <c r="U68" i="20"/>
  <c r="Y68" i="20"/>
  <c r="W68" i="20"/>
  <c r="X68" i="20"/>
  <c r="V68" i="20"/>
  <c r="Z68" i="20"/>
  <c r="S68" i="20"/>
  <c r="BZ68" i="20" s="1"/>
  <c r="AA68" i="20"/>
  <c r="T68" i="20"/>
  <c r="AB68" i="20"/>
  <c r="U66" i="20"/>
  <c r="Y66" i="20"/>
  <c r="S66" i="20"/>
  <c r="BZ66" i="20" s="1"/>
  <c r="AA66" i="20"/>
  <c r="T66" i="20"/>
  <c r="AB66" i="20"/>
  <c r="V66" i="20"/>
  <c r="Z66" i="20"/>
  <c r="W66" i="20"/>
  <c r="X66" i="20"/>
  <c r="S64" i="20"/>
  <c r="BZ64" i="20" s="1"/>
  <c r="DM64" i="20" s="1"/>
  <c r="T64" i="20"/>
  <c r="X64" i="20"/>
  <c r="AB64" i="20"/>
  <c r="V64" i="20"/>
  <c r="U64" i="20"/>
  <c r="Y64" i="20"/>
  <c r="Z64" i="20"/>
  <c r="W64" i="20"/>
  <c r="AA64" i="20"/>
  <c r="S71" i="20"/>
  <c r="BZ71" i="20" s="1"/>
  <c r="W71" i="20"/>
  <c r="AA71" i="20"/>
  <c r="Y71" i="20"/>
  <c r="T71" i="20"/>
  <c r="X71" i="20"/>
  <c r="AB71" i="20"/>
  <c r="U71" i="20"/>
  <c r="Z71" i="20"/>
  <c r="V71" i="20"/>
  <c r="P4" i="20"/>
  <c r="P8" i="20"/>
  <c r="P12" i="20"/>
  <c r="P5" i="20"/>
  <c r="P9" i="20"/>
  <c r="P13" i="20"/>
  <c r="P6" i="20"/>
  <c r="P10" i="20"/>
  <c r="P7" i="20"/>
  <c r="P11" i="20"/>
  <c r="U4" i="20"/>
  <c r="W4" i="20"/>
  <c r="W11" i="20"/>
  <c r="W10" i="20"/>
  <c r="W7" i="20"/>
  <c r="W13" i="20"/>
  <c r="W8" i="20"/>
  <c r="W9" i="20"/>
  <c r="W14" i="20"/>
  <c r="W6" i="20"/>
  <c r="W5" i="20"/>
  <c r="W12" i="20"/>
  <c r="Q5" i="20"/>
  <c r="Q7" i="20"/>
  <c r="Q9" i="20"/>
  <c r="Q11" i="20"/>
  <c r="Q13" i="20"/>
  <c r="Q4" i="20"/>
  <c r="Q6" i="20"/>
  <c r="Q8" i="20"/>
  <c r="Q10" i="20"/>
  <c r="Q12" i="20"/>
  <c r="U12" i="20"/>
  <c r="U6" i="20"/>
  <c r="U11" i="20"/>
  <c r="U10" i="20"/>
  <c r="U7" i="20"/>
  <c r="U9" i="20"/>
  <c r="U8" i="20"/>
  <c r="U13" i="20"/>
  <c r="U14" i="20"/>
  <c r="U5" i="20"/>
  <c r="AJ74" i="20" l="1"/>
  <c r="AM74" i="20"/>
  <c r="AJ71" i="20"/>
  <c r="DM71" i="20" s="1"/>
  <c r="AL73" i="20"/>
  <c r="AK72" i="20"/>
  <c r="AM72" i="20"/>
  <c r="AJ69" i="20"/>
  <c r="AL71" i="20"/>
  <c r="AK70" i="20"/>
  <c r="AO74" i="20"/>
  <c r="AN73" i="20"/>
  <c r="AL74" i="20"/>
  <c r="AK73" i="20"/>
  <c r="AJ72" i="20"/>
  <c r="DM72" i="20" s="1"/>
  <c r="AL72" i="20"/>
  <c r="AK71" i="20"/>
  <c r="AM73" i="20"/>
  <c r="AJ70" i="20"/>
  <c r="DM70" i="20" s="1"/>
  <c r="AN74" i="20"/>
  <c r="AL68" i="20"/>
  <c r="AK67" i="20"/>
  <c r="AP72" i="20"/>
  <c r="AQ73" i="20"/>
  <c r="AN70" i="20"/>
  <c r="AR74" i="20"/>
  <c r="AM69" i="20"/>
  <c r="AJ66" i="20"/>
  <c r="DM66" i="20" s="1"/>
  <c r="AO71" i="20"/>
  <c r="AQ74" i="20"/>
  <c r="AN71" i="20"/>
  <c r="AM70" i="20"/>
  <c r="AO72" i="20"/>
  <c r="AL69" i="20"/>
  <c r="AK68" i="20"/>
  <c r="AJ67" i="20"/>
  <c r="DM67" i="20" s="1"/>
  <c r="AP73" i="20"/>
  <c r="AJ73" i="20"/>
  <c r="DM73" i="20" s="1"/>
  <c r="AK74" i="20"/>
  <c r="AS74" i="20"/>
  <c r="AN69" i="20"/>
  <c r="AK66" i="20"/>
  <c r="AO70" i="20"/>
  <c r="AQ72" i="20"/>
  <c r="AP71" i="20"/>
  <c r="AR73" i="20"/>
  <c r="AJ65" i="20"/>
  <c r="DM65" i="20" s="1"/>
  <c r="AM68" i="20"/>
  <c r="AL67" i="20"/>
  <c r="AP74" i="20"/>
  <c r="AO73" i="20"/>
  <c r="AM71" i="20"/>
  <c r="AN72" i="20"/>
  <c r="AL70" i="20"/>
  <c r="AK69" i="20"/>
  <c r="AJ68" i="20"/>
  <c r="DM68" i="20" s="1"/>
  <c r="AI70" i="20"/>
  <c r="DL70" i="20" s="1"/>
  <c r="AI71" i="20"/>
  <c r="DL71" i="20" s="1"/>
  <c r="AI65" i="20"/>
  <c r="DL65" i="20" s="1"/>
  <c r="AI74" i="20"/>
  <c r="DL74" i="20" s="1"/>
  <c r="AI66" i="20"/>
  <c r="DL66" i="20" s="1"/>
  <c r="AI69" i="20"/>
  <c r="DL69" i="20" s="1"/>
  <c r="AI73" i="20"/>
  <c r="DL73" i="20" s="1"/>
  <c r="DM69" i="20"/>
  <c r="AI68" i="20"/>
  <c r="DL68" i="20" s="1"/>
  <c r="AI72" i="20"/>
  <c r="DL72" i="20" s="1"/>
  <c r="AI64" i="20"/>
  <c r="DL64" i="20" s="1"/>
  <c r="AI67" i="20"/>
  <c r="DL67" i="20" s="1"/>
  <c r="CA67" i="20"/>
  <c r="CA73" i="20"/>
  <c r="CA72" i="20"/>
  <c r="CA69" i="20"/>
  <c r="L64" i="20"/>
  <c r="CI64" i="20"/>
  <c r="DV64" i="20" s="1"/>
  <c r="I64" i="20"/>
  <c r="J65" i="20" s="1"/>
  <c r="EZ65" i="20" s="1"/>
  <c r="CF64" i="20"/>
  <c r="H64" i="20"/>
  <c r="I65" i="20" s="1"/>
  <c r="EY65" i="20" s="1"/>
  <c r="CE64" i="20"/>
  <c r="DR64" i="20" s="1"/>
  <c r="CA66" i="20"/>
  <c r="CA71" i="20"/>
  <c r="CA74" i="20"/>
  <c r="J64" i="20"/>
  <c r="CG64" i="20"/>
  <c r="K64" i="20"/>
  <c r="L65" i="20" s="1"/>
  <c r="CH64" i="20"/>
  <c r="E64" i="20"/>
  <c r="CB64" i="20"/>
  <c r="DO64" i="20" s="1"/>
  <c r="D64" i="20"/>
  <c r="ET64" i="20" s="1"/>
  <c r="CA64" i="20"/>
  <c r="DN64" i="20" s="1"/>
  <c r="U76" i="20"/>
  <c r="G64" i="20"/>
  <c r="H65" i="20" s="1"/>
  <c r="EX65" i="20" s="1"/>
  <c r="CD64" i="20"/>
  <c r="DQ64" i="20" s="1"/>
  <c r="F64" i="20"/>
  <c r="CC64" i="20"/>
  <c r="DP64" i="20" s="1"/>
  <c r="CA65" i="20"/>
  <c r="DN65" i="20" s="1"/>
  <c r="CA70" i="20"/>
  <c r="CA68" i="20"/>
  <c r="U77" i="20"/>
  <c r="DM74" i="20"/>
  <c r="C64" i="20"/>
  <c r="ES64" i="20" s="1"/>
  <c r="V14" i="20"/>
  <c r="B74" i="20" s="1"/>
  <c r="V10" i="20"/>
  <c r="B70" i="20" s="1"/>
  <c r="V6" i="20"/>
  <c r="B66" i="20" s="1"/>
  <c r="V13" i="20"/>
  <c r="B73" i="20" s="1"/>
  <c r="V9" i="20"/>
  <c r="B69" i="20" s="1"/>
  <c r="V5" i="20"/>
  <c r="B65" i="20" s="1"/>
  <c r="V12" i="20"/>
  <c r="B72" i="20" s="1"/>
  <c r="V8" i="20"/>
  <c r="V4" i="20"/>
  <c r="B64" i="20" s="1"/>
  <c r="V11" i="20"/>
  <c r="B71" i="20" s="1"/>
  <c r="V7" i="20"/>
  <c r="B67" i="20" s="1"/>
  <c r="T4" i="20"/>
  <c r="S4" i="20"/>
  <c r="T10" i="20"/>
  <c r="T13" i="20"/>
  <c r="T6" i="20"/>
  <c r="T5" i="20"/>
  <c r="T7" i="20"/>
  <c r="T14" i="20"/>
  <c r="T12" i="20"/>
  <c r="T8" i="20"/>
  <c r="T11" i="20"/>
  <c r="T9" i="20"/>
  <c r="S11" i="20"/>
  <c r="S13" i="20"/>
  <c r="S6" i="20"/>
  <c r="S9" i="20"/>
  <c r="S8" i="20"/>
  <c r="S10" i="20"/>
  <c r="S14" i="20"/>
  <c r="S5" i="20"/>
  <c r="S7" i="20"/>
  <c r="S12" i="20"/>
  <c r="AT64" i="20" l="1"/>
  <c r="X76" i="20"/>
  <c r="BB64" i="20"/>
  <c r="BJ65" i="20"/>
  <c r="FB65" i="20"/>
  <c r="BI64" i="20"/>
  <c r="FA64" i="20"/>
  <c r="BE64" i="20"/>
  <c r="EW64" i="20"/>
  <c r="BG64" i="20"/>
  <c r="EY64" i="20"/>
  <c r="BC64" i="20"/>
  <c r="EU64" i="20"/>
  <c r="BH64" i="20"/>
  <c r="EZ64" i="20"/>
  <c r="E65" i="20"/>
  <c r="F66" i="20" s="1"/>
  <c r="EV66" i="20" s="1"/>
  <c r="G65" i="20"/>
  <c r="AT65" i="20" s="1"/>
  <c r="EV64" i="20"/>
  <c r="BF64" i="20"/>
  <c r="EX64" i="20"/>
  <c r="BJ64" i="20"/>
  <c r="FB64" i="20"/>
  <c r="CL67" i="20"/>
  <c r="ER67" i="20"/>
  <c r="C73" i="20"/>
  <c r="BA73" i="20" s="1"/>
  <c r="CL72" i="20"/>
  <c r="ER72" i="20"/>
  <c r="ER66" i="20"/>
  <c r="CL66" i="20"/>
  <c r="C72" i="20"/>
  <c r="ER71" i="20"/>
  <c r="CL71" i="20"/>
  <c r="ER65" i="20"/>
  <c r="CL65" i="20"/>
  <c r="C71" i="20"/>
  <c r="BA71" i="20" s="1"/>
  <c r="CL70" i="20"/>
  <c r="ER70" i="20"/>
  <c r="ER64" i="20"/>
  <c r="CL64" i="20"/>
  <c r="ER69" i="20"/>
  <c r="CL69" i="20"/>
  <c r="CL74" i="20"/>
  <c r="EB74" i="20" s="1"/>
  <c r="ER74" i="20"/>
  <c r="CL68" i="20"/>
  <c r="ER68" i="20"/>
  <c r="C74" i="20"/>
  <c r="ES74" i="20" s="1"/>
  <c r="ER73" i="20"/>
  <c r="CL73" i="20"/>
  <c r="W77" i="20"/>
  <c r="X77" i="20"/>
  <c r="V76" i="20"/>
  <c r="T77" i="20"/>
  <c r="V77" i="20"/>
  <c r="BD64" i="20"/>
  <c r="F65" i="20"/>
  <c r="CB69" i="20"/>
  <c r="DN68" i="20"/>
  <c r="CB73" i="20"/>
  <c r="DN72" i="20"/>
  <c r="CB68" i="20"/>
  <c r="DN67" i="20"/>
  <c r="CB71" i="20"/>
  <c r="DN70" i="20"/>
  <c r="CI65" i="20"/>
  <c r="DV65" i="20" s="1"/>
  <c r="DU64" i="20"/>
  <c r="DN74" i="20"/>
  <c r="CB74" i="20"/>
  <c r="DO74" i="20" s="1"/>
  <c r="DN73" i="20"/>
  <c r="CB72" i="20"/>
  <c r="DN71" i="20"/>
  <c r="CB70" i="20"/>
  <c r="DN69" i="20"/>
  <c r="CH65" i="20"/>
  <c r="DT64" i="20"/>
  <c r="CB67" i="20"/>
  <c r="DN66" i="20"/>
  <c r="CG65" i="20"/>
  <c r="DS64" i="20"/>
  <c r="K65" i="20"/>
  <c r="BI65" i="20" s="1"/>
  <c r="W76" i="20"/>
  <c r="CB65" i="20"/>
  <c r="DO65" i="20" s="1"/>
  <c r="CD65" i="20"/>
  <c r="DQ65" i="20" s="1"/>
  <c r="T76" i="20"/>
  <c r="CE65" i="20"/>
  <c r="DR65" i="20" s="1"/>
  <c r="CF65" i="20"/>
  <c r="AZ70" i="20"/>
  <c r="CB66" i="20"/>
  <c r="CC65" i="20"/>
  <c r="DP65" i="20" s="1"/>
  <c r="D65" i="20"/>
  <c r="ET65" i="20" s="1"/>
  <c r="BA64" i="20"/>
  <c r="AW65" i="20"/>
  <c r="AZ65" i="20"/>
  <c r="AW66" i="20"/>
  <c r="AZ66" i="20"/>
  <c r="J66" i="20"/>
  <c r="EZ66" i="20" s="1"/>
  <c r="BG65" i="20"/>
  <c r="AW68" i="20"/>
  <c r="AZ68" i="20"/>
  <c r="K66" i="20"/>
  <c r="FA66" i="20" s="1"/>
  <c r="BH65" i="20"/>
  <c r="AZ72" i="20"/>
  <c r="AZ71" i="20"/>
  <c r="I66" i="20"/>
  <c r="EY66" i="20" s="1"/>
  <c r="BF65" i="20"/>
  <c r="AZ73" i="20"/>
  <c r="AW67" i="20"/>
  <c r="AZ67" i="20"/>
  <c r="AW64" i="20"/>
  <c r="AZ64" i="20"/>
  <c r="AW69" i="20"/>
  <c r="AZ69" i="20"/>
  <c r="AZ74" i="20"/>
  <c r="O67" i="20"/>
  <c r="C68" i="20"/>
  <c r="O66" i="20"/>
  <c r="C67" i="20"/>
  <c r="O65" i="20"/>
  <c r="C66" i="20"/>
  <c r="O64" i="20"/>
  <c r="C65" i="20"/>
  <c r="O69" i="20"/>
  <c r="C70" i="20"/>
  <c r="O68" i="20"/>
  <c r="C69" i="20"/>
  <c r="BE65" i="20" l="1"/>
  <c r="BD66" i="20"/>
  <c r="G67" i="20"/>
  <c r="BE67" i="20" s="1"/>
  <c r="DW64" i="20"/>
  <c r="FC64" i="20"/>
  <c r="H66" i="20"/>
  <c r="EW65" i="20"/>
  <c r="L66" i="20"/>
  <c r="FA65" i="20"/>
  <c r="G66" i="20"/>
  <c r="EW66" i="20" s="1"/>
  <c r="EV65" i="20"/>
  <c r="BC65" i="20"/>
  <c r="EU65" i="20"/>
  <c r="BA69" i="20"/>
  <c r="ES69" i="20"/>
  <c r="D74" i="20"/>
  <c r="ES73" i="20"/>
  <c r="D73" i="20"/>
  <c r="ES72" i="20"/>
  <c r="BA65" i="20"/>
  <c r="ES65" i="20"/>
  <c r="BA74" i="20"/>
  <c r="BA72" i="20"/>
  <c r="BA67" i="20"/>
  <c r="ES67" i="20"/>
  <c r="BA70" i="20"/>
  <c r="ES70" i="20"/>
  <c r="BA66" i="20"/>
  <c r="ES66" i="20"/>
  <c r="BA68" i="20"/>
  <c r="ES68" i="20"/>
  <c r="D72" i="20"/>
  <c r="ES71" i="20"/>
  <c r="BD65" i="20"/>
  <c r="CC67" i="20"/>
  <c r="DO66" i="20"/>
  <c r="EB65" i="20"/>
  <c r="CM66" i="20"/>
  <c r="CC72" i="20"/>
  <c r="DO71" i="20"/>
  <c r="EB73" i="20"/>
  <c r="CM74" i="20"/>
  <c r="EC74" i="20" s="1"/>
  <c r="EB70" i="20"/>
  <c r="CM71" i="20"/>
  <c r="CH66" i="20"/>
  <c r="DT65" i="20"/>
  <c r="CI66" i="20"/>
  <c r="DV66" i="20" s="1"/>
  <c r="DU65" i="20"/>
  <c r="EB66" i="20"/>
  <c r="CM67" i="20"/>
  <c r="CC73" i="20"/>
  <c r="DO72" i="20"/>
  <c r="CC69" i="20"/>
  <c r="DO68" i="20"/>
  <c r="CM72" i="20"/>
  <c r="EB71" i="20"/>
  <c r="CM73" i="20"/>
  <c r="EB72" i="20"/>
  <c r="CC70" i="20"/>
  <c r="DO69" i="20"/>
  <c r="CG66" i="20"/>
  <c r="DS65" i="20"/>
  <c r="CM69" i="20"/>
  <c r="EB68" i="20"/>
  <c r="CC68" i="20"/>
  <c r="DO67" i="20"/>
  <c r="EB69" i="20"/>
  <c r="CM70" i="20"/>
  <c r="DO70" i="20"/>
  <c r="CC71" i="20"/>
  <c r="EB64" i="20"/>
  <c r="EM64" i="20" s="1"/>
  <c r="EO64" i="20" s="1"/>
  <c r="BQ64" i="20" s="1"/>
  <c r="BV64" i="20" s="1"/>
  <c r="CM65" i="20"/>
  <c r="EB67" i="20"/>
  <c r="CM68" i="20"/>
  <c r="CC74" i="20"/>
  <c r="DP74" i="20" s="1"/>
  <c r="DO73" i="20"/>
  <c r="DY62" i="20"/>
  <c r="BO62" i="20" s="1"/>
  <c r="BK64" i="20"/>
  <c r="CD66" i="20"/>
  <c r="DQ66" i="20" s="1"/>
  <c r="CF66" i="20"/>
  <c r="CE66" i="20"/>
  <c r="DR66" i="20" s="1"/>
  <c r="CC66" i="20"/>
  <c r="DP66" i="20" s="1"/>
  <c r="K67" i="20"/>
  <c r="FA67" i="20" s="1"/>
  <c r="BH66" i="20"/>
  <c r="J67" i="20"/>
  <c r="EZ67" i="20" s="1"/>
  <c r="BG66" i="20"/>
  <c r="L67" i="20"/>
  <c r="BI66" i="20"/>
  <c r="E66" i="20"/>
  <c r="EU66" i="20" s="1"/>
  <c r="BB65" i="20"/>
  <c r="D71" i="20"/>
  <c r="D67" i="20"/>
  <c r="ET67" i="20" s="1"/>
  <c r="D69" i="20"/>
  <c r="ET69" i="20" s="1"/>
  <c r="D70" i="20"/>
  <c r="ET70" i="20" s="1"/>
  <c r="D66" i="20"/>
  <c r="ET66" i="20" s="1"/>
  <c r="D68" i="20"/>
  <c r="ET68" i="20" s="1"/>
  <c r="EW67" i="20" l="1"/>
  <c r="FC65" i="20"/>
  <c r="H68" i="20"/>
  <c r="AT67" i="20"/>
  <c r="BJ67" i="20"/>
  <c r="FB67" i="20"/>
  <c r="AT66" i="20"/>
  <c r="H67" i="20"/>
  <c r="EX67" i="20" s="1"/>
  <c r="BJ66" i="20"/>
  <c r="FB66" i="20"/>
  <c r="EX66" i="20"/>
  <c r="BF66" i="20"/>
  <c r="I67" i="20"/>
  <c r="BE66" i="20"/>
  <c r="BK65" i="20"/>
  <c r="E73" i="20"/>
  <c r="ET72" i="20"/>
  <c r="BB72" i="20"/>
  <c r="ET74" i="20"/>
  <c r="BB74" i="20"/>
  <c r="E74" i="20"/>
  <c r="ET73" i="20"/>
  <c r="BB73" i="20"/>
  <c r="BB71" i="20"/>
  <c r="ET71" i="20"/>
  <c r="DW65" i="20"/>
  <c r="CN69" i="20"/>
  <c r="EC68" i="20"/>
  <c r="CD72" i="20"/>
  <c r="DP71" i="20"/>
  <c r="EC67" i="20"/>
  <c r="CN68" i="20"/>
  <c r="EC66" i="20"/>
  <c r="CN67" i="20"/>
  <c r="CD69" i="20"/>
  <c r="DP68" i="20"/>
  <c r="CH67" i="20"/>
  <c r="DT66" i="20"/>
  <c r="CN74" i="20"/>
  <c r="ED74" i="20" s="1"/>
  <c r="EC73" i="20"/>
  <c r="CD70" i="20"/>
  <c r="DP69" i="20"/>
  <c r="CI67" i="20"/>
  <c r="DV67" i="20" s="1"/>
  <c r="DU66" i="20"/>
  <c r="CG67" i="20"/>
  <c r="DS66" i="20"/>
  <c r="EC65" i="20"/>
  <c r="EM65" i="20" s="1"/>
  <c r="EO65" i="20" s="1"/>
  <c r="BQ65" i="20" s="1"/>
  <c r="BV65" i="20" s="1"/>
  <c r="CN66" i="20"/>
  <c r="EC70" i="20"/>
  <c r="CN71" i="20"/>
  <c r="EC71" i="20"/>
  <c r="CN72" i="20"/>
  <c r="CN70" i="20"/>
  <c r="EC69" i="20"/>
  <c r="CD71" i="20"/>
  <c r="DP70" i="20"/>
  <c r="CN73" i="20"/>
  <c r="EC72" i="20"/>
  <c r="CD74" i="20"/>
  <c r="DQ74" i="20" s="1"/>
  <c r="DP73" i="20"/>
  <c r="CD73" i="20"/>
  <c r="DP72" i="20"/>
  <c r="CD68" i="20"/>
  <c r="DP67" i="20"/>
  <c r="DY63" i="20"/>
  <c r="BO63" i="20" s="1"/>
  <c r="BT63" i="20" s="1"/>
  <c r="CD67" i="20"/>
  <c r="DQ67" i="20" s="1"/>
  <c r="CF67" i="20"/>
  <c r="CE67" i="20"/>
  <c r="DR67" i="20" s="1"/>
  <c r="E71" i="20"/>
  <c r="EU71" i="20" s="1"/>
  <c r="BB70" i="20"/>
  <c r="L68" i="20"/>
  <c r="BI67" i="20"/>
  <c r="E67" i="20"/>
  <c r="EU67" i="20" s="1"/>
  <c r="BB66" i="20"/>
  <c r="E70" i="20"/>
  <c r="EU70" i="20" s="1"/>
  <c r="BB69" i="20"/>
  <c r="F67" i="20"/>
  <c r="EV67" i="20" s="1"/>
  <c r="BC66" i="20"/>
  <c r="K68" i="20"/>
  <c r="FA68" i="20" s="1"/>
  <c r="BH67" i="20"/>
  <c r="E69" i="20"/>
  <c r="EU69" i="20" s="1"/>
  <c r="BB68" i="20"/>
  <c r="E68" i="20"/>
  <c r="EU68" i="20" s="1"/>
  <c r="BB67" i="20"/>
  <c r="E72" i="20"/>
  <c r="FC66" i="20" l="1"/>
  <c r="I68" i="20"/>
  <c r="EY68" i="20" s="1"/>
  <c r="EX68" i="20"/>
  <c r="I69" i="20"/>
  <c r="BF68" i="20"/>
  <c r="BJ68" i="20"/>
  <c r="FB68" i="20"/>
  <c r="BF67" i="20"/>
  <c r="EY67" i="20"/>
  <c r="FC67" i="20" s="1"/>
  <c r="BG67" i="20"/>
  <c r="J68" i="20"/>
  <c r="EU74" i="20"/>
  <c r="BC74" i="20"/>
  <c r="F74" i="20"/>
  <c r="EU73" i="20"/>
  <c r="BC73" i="20"/>
  <c r="BC72" i="20"/>
  <c r="EU72" i="20"/>
  <c r="DW66" i="20"/>
  <c r="ED71" i="20"/>
  <c r="CO72" i="20"/>
  <c r="DQ70" i="20"/>
  <c r="CE71" i="20"/>
  <c r="CI68" i="20"/>
  <c r="DV68" i="20" s="1"/>
  <c r="DU67" i="20"/>
  <c r="ED67" i="20"/>
  <c r="CO68" i="20"/>
  <c r="CO70" i="20"/>
  <c r="ED69" i="20"/>
  <c r="CG68" i="20"/>
  <c r="DS67" i="20"/>
  <c r="CE69" i="20"/>
  <c r="DQ68" i="20"/>
  <c r="CE72" i="20"/>
  <c r="DQ71" i="20"/>
  <c r="CO73" i="20"/>
  <c r="ED72" i="20"/>
  <c r="CH68" i="20"/>
  <c r="DT67" i="20"/>
  <c r="CO67" i="20"/>
  <c r="ED66" i="20"/>
  <c r="EM66" i="20" s="1"/>
  <c r="EO66" i="20" s="1"/>
  <c r="BQ66" i="20" s="1"/>
  <c r="BV66" i="20" s="1"/>
  <c r="CE70" i="20"/>
  <c r="DQ69" i="20"/>
  <c r="CO69" i="20"/>
  <c r="ED68" i="20"/>
  <c r="CE73" i="20"/>
  <c r="DQ72" i="20"/>
  <c r="CE74" i="20"/>
  <c r="DR74" i="20" s="1"/>
  <c r="DQ73" i="20"/>
  <c r="CO74" i="20"/>
  <c r="EE74" i="20" s="1"/>
  <c r="ED73" i="20"/>
  <c r="CO71" i="20"/>
  <c r="ED70" i="20"/>
  <c r="BR63" i="20"/>
  <c r="BK66" i="20"/>
  <c r="DY64" i="20"/>
  <c r="BO64" i="20" s="1"/>
  <c r="CF68" i="20"/>
  <c r="CE68" i="20"/>
  <c r="DR68" i="20" s="1"/>
  <c r="F70" i="20"/>
  <c r="EV70" i="20" s="1"/>
  <c r="BC69" i="20"/>
  <c r="G68" i="20"/>
  <c r="EW68" i="20" s="1"/>
  <c r="BD67" i="20"/>
  <c r="F69" i="20"/>
  <c r="EV69" i="20" s="1"/>
  <c r="BC68" i="20"/>
  <c r="L69" i="20"/>
  <c r="BI68" i="20"/>
  <c r="F71" i="20"/>
  <c r="EV71" i="20" s="1"/>
  <c r="BC70" i="20"/>
  <c r="F68" i="20"/>
  <c r="EV68" i="20" s="1"/>
  <c r="BC67" i="20"/>
  <c r="F72" i="20"/>
  <c r="EV72" i="20" s="1"/>
  <c r="BC71" i="20"/>
  <c r="F73" i="20"/>
  <c r="BG68" i="20" l="1"/>
  <c r="J69" i="20"/>
  <c r="EZ69" i="20" s="1"/>
  <c r="BK67" i="20"/>
  <c r="EY69" i="20"/>
  <c r="J70" i="20"/>
  <c r="BG69" i="20"/>
  <c r="BJ69" i="20"/>
  <c r="FB69" i="20"/>
  <c r="EZ68" i="20"/>
  <c r="FC68" i="20" s="1"/>
  <c r="K69" i="20"/>
  <c r="BH68" i="20"/>
  <c r="BD73" i="20"/>
  <c r="EV73" i="20"/>
  <c r="EV74" i="20"/>
  <c r="BD74" i="20"/>
  <c r="DW67" i="20"/>
  <c r="DY67" i="20" s="1"/>
  <c r="BO67" i="20" s="1"/>
  <c r="BR67" i="20" s="1"/>
  <c r="CG69" i="20"/>
  <c r="DS68" i="20"/>
  <c r="CF74" i="20"/>
  <c r="DS74" i="20" s="1"/>
  <c r="DR73" i="20"/>
  <c r="CF71" i="20"/>
  <c r="DR70" i="20"/>
  <c r="EE68" i="20"/>
  <c r="CP69" i="20"/>
  <c r="CF72" i="20"/>
  <c r="DR71" i="20"/>
  <c r="CI69" i="20"/>
  <c r="DV69" i="20" s="1"/>
  <c r="DU68" i="20"/>
  <c r="CF73" i="20"/>
  <c r="DR72" i="20"/>
  <c r="CH69" i="20"/>
  <c r="DT68" i="20"/>
  <c r="CP72" i="20"/>
  <c r="EE71" i="20"/>
  <c r="CP70" i="20"/>
  <c r="EE69" i="20"/>
  <c r="CP68" i="20"/>
  <c r="EE67" i="20"/>
  <c r="EM67" i="20" s="1"/>
  <c r="EO67" i="20" s="1"/>
  <c r="BQ67" i="20" s="1"/>
  <c r="BV67" i="20" s="1"/>
  <c r="EE72" i="20"/>
  <c r="CP73" i="20"/>
  <c r="CP74" i="20"/>
  <c r="EF74" i="20" s="1"/>
  <c r="EE73" i="20"/>
  <c r="CF70" i="20"/>
  <c r="DR69" i="20"/>
  <c r="CP71" i="20"/>
  <c r="EE70" i="20"/>
  <c r="DY65" i="20"/>
  <c r="BO65" i="20" s="1"/>
  <c r="BT64" i="20"/>
  <c r="BR64" i="20"/>
  <c r="CF69" i="20"/>
  <c r="DY66" i="20"/>
  <c r="BO66" i="20" s="1"/>
  <c r="G73" i="20"/>
  <c r="EW73" i="20" s="1"/>
  <c r="BD72" i="20"/>
  <c r="G72" i="20"/>
  <c r="EW72" i="20" s="1"/>
  <c r="BD71" i="20"/>
  <c r="G69" i="20"/>
  <c r="EW69" i="20" s="1"/>
  <c r="BD68" i="20"/>
  <c r="G70" i="20"/>
  <c r="EW70" i="20" s="1"/>
  <c r="BD69" i="20"/>
  <c r="BE68" i="20"/>
  <c r="H69" i="20"/>
  <c r="EX69" i="20" s="1"/>
  <c r="AT68" i="20"/>
  <c r="G71" i="20"/>
  <c r="EW71" i="20" s="1"/>
  <c r="BD70" i="20"/>
  <c r="G74" i="20"/>
  <c r="EW74" i="20" s="1"/>
  <c r="BH69" i="20" l="1"/>
  <c r="K70" i="20"/>
  <c r="FA70" i="20" s="1"/>
  <c r="BT67" i="20"/>
  <c r="EZ70" i="20"/>
  <c r="K71" i="20"/>
  <c r="BH70" i="20"/>
  <c r="FA69" i="20"/>
  <c r="FC69" i="20" s="1"/>
  <c r="L70" i="20"/>
  <c r="BI69" i="20"/>
  <c r="BK68" i="20"/>
  <c r="CG70" i="20"/>
  <c r="DS69" i="20"/>
  <c r="CQ71" i="20"/>
  <c r="EF70" i="20"/>
  <c r="DW68" i="20"/>
  <c r="DY68" i="20" s="1"/>
  <c r="BO68" i="20" s="1"/>
  <c r="BR68" i="20" s="1"/>
  <c r="CQ70" i="20"/>
  <c r="EF69" i="20"/>
  <c r="CH70" i="20"/>
  <c r="DT69" i="20"/>
  <c r="CQ72" i="20"/>
  <c r="EF71" i="20"/>
  <c r="CI70" i="20"/>
  <c r="DV70" i="20" s="1"/>
  <c r="DU69" i="20"/>
  <c r="CQ69" i="20"/>
  <c r="EF68" i="20"/>
  <c r="EM68" i="20" s="1"/>
  <c r="EO68" i="20" s="1"/>
  <c r="BQ68" i="20" s="1"/>
  <c r="BV68" i="20" s="1"/>
  <c r="CQ73" i="20"/>
  <c r="EF72" i="20"/>
  <c r="CG71" i="20"/>
  <c r="DS70" i="20"/>
  <c r="CQ74" i="20"/>
  <c r="EG74" i="20" s="1"/>
  <c r="EF73" i="20"/>
  <c r="CG74" i="20"/>
  <c r="DT74" i="20" s="1"/>
  <c r="DS73" i="20"/>
  <c r="CG73" i="20"/>
  <c r="DS72" i="20"/>
  <c r="CG72" i="20"/>
  <c r="DS71" i="20"/>
  <c r="BT66" i="20"/>
  <c r="BR66" i="20"/>
  <c r="BT65" i="20"/>
  <c r="BR65" i="20"/>
  <c r="BE70" i="20"/>
  <c r="H71" i="20"/>
  <c r="EX71" i="20" s="1"/>
  <c r="AT70" i="20"/>
  <c r="BE72" i="20"/>
  <c r="H73" i="20"/>
  <c r="EX73" i="20" s="1"/>
  <c r="AT72" i="20"/>
  <c r="BE71" i="20"/>
  <c r="AT71" i="20"/>
  <c r="H72" i="20"/>
  <c r="EX72" i="20" s="1"/>
  <c r="AT74" i="20"/>
  <c r="BE74" i="20"/>
  <c r="I70" i="20"/>
  <c r="EY70" i="20" s="1"/>
  <c r="BF69" i="20"/>
  <c r="BE69" i="20"/>
  <c r="H70" i="20"/>
  <c r="EX70" i="20" s="1"/>
  <c r="AT69" i="20"/>
  <c r="BE73" i="20"/>
  <c r="AT73" i="20"/>
  <c r="H74" i="20"/>
  <c r="L71" i="20" l="1"/>
  <c r="BJ71" i="20" s="1"/>
  <c r="BI70" i="20"/>
  <c r="DW69" i="20"/>
  <c r="DY69" i="20" s="1"/>
  <c r="BO69" i="20" s="1"/>
  <c r="BT69" i="20" s="1"/>
  <c r="FA71" i="20"/>
  <c r="L72" i="20"/>
  <c r="BI71" i="20"/>
  <c r="BT68" i="20"/>
  <c r="BJ70" i="20"/>
  <c r="FB70" i="20"/>
  <c r="FC70" i="20" s="1"/>
  <c r="BF74" i="20"/>
  <c r="EX74" i="20"/>
  <c r="CH73" i="20"/>
  <c r="DT72" i="20"/>
  <c r="CH72" i="20"/>
  <c r="DT71" i="20"/>
  <c r="CR70" i="20"/>
  <c r="EG69" i="20"/>
  <c r="EM69" i="20" s="1"/>
  <c r="EO69" i="20" s="1"/>
  <c r="BQ69" i="20" s="1"/>
  <c r="BV69" i="20" s="1"/>
  <c r="CI71" i="20"/>
  <c r="DV71" i="20" s="1"/>
  <c r="DU70" i="20"/>
  <c r="CH71" i="20"/>
  <c r="DT70" i="20"/>
  <c r="CR72" i="20"/>
  <c r="EG71" i="20"/>
  <c r="CH74" i="20"/>
  <c r="DU74" i="20" s="1"/>
  <c r="DT73" i="20"/>
  <c r="CR74" i="20"/>
  <c r="EH74" i="20" s="1"/>
  <c r="EG73" i="20"/>
  <c r="CR73" i="20"/>
  <c r="EG72" i="20"/>
  <c r="CR71" i="20"/>
  <c r="EG70" i="20"/>
  <c r="BK69" i="20"/>
  <c r="I73" i="20"/>
  <c r="EY73" i="20" s="1"/>
  <c r="BF72" i="20"/>
  <c r="I74" i="20"/>
  <c r="BF73" i="20"/>
  <c r="J71" i="20"/>
  <c r="EZ71" i="20" s="1"/>
  <c r="BG70" i="20"/>
  <c r="I72" i="20"/>
  <c r="EY72" i="20" s="1"/>
  <c r="BF71" i="20"/>
  <c r="I71" i="20"/>
  <c r="EY71" i="20" s="1"/>
  <c r="BF70" i="20"/>
  <c r="FB71" i="20" l="1"/>
  <c r="FC71" i="20" s="1"/>
  <c r="BR69" i="20"/>
  <c r="FB72" i="20"/>
  <c r="BJ72" i="20"/>
  <c r="BG74" i="20"/>
  <c r="EY74" i="20"/>
  <c r="BK70" i="20"/>
  <c r="DW70" i="20"/>
  <c r="DY70" i="20" s="1"/>
  <c r="BO70" i="20" s="1"/>
  <c r="BT70" i="20" s="1"/>
  <c r="CS74" i="20"/>
  <c r="EI74" i="20" s="1"/>
  <c r="EH73" i="20"/>
  <c r="CI72" i="20"/>
  <c r="DV72" i="20" s="1"/>
  <c r="DU71" i="20"/>
  <c r="DW71" i="20" s="1"/>
  <c r="DY71" i="20" s="1"/>
  <c r="BO71" i="20" s="1"/>
  <c r="CS71" i="20"/>
  <c r="EH70" i="20"/>
  <c r="EM70" i="20" s="1"/>
  <c r="EO70" i="20" s="1"/>
  <c r="BQ70" i="20" s="1"/>
  <c r="BV70" i="20" s="1"/>
  <c r="CI74" i="20"/>
  <c r="DV74" i="20" s="1"/>
  <c r="DW74" i="20" s="1"/>
  <c r="DU73" i="20"/>
  <c r="CS72" i="20"/>
  <c r="EH71" i="20"/>
  <c r="CS73" i="20"/>
  <c r="EH72" i="20"/>
  <c r="CI73" i="20"/>
  <c r="DV73" i="20" s="1"/>
  <c r="DU72" i="20"/>
  <c r="J73" i="20"/>
  <c r="EZ73" i="20" s="1"/>
  <c r="BG72" i="20"/>
  <c r="J72" i="20"/>
  <c r="EZ72" i="20" s="1"/>
  <c r="BG71" i="20"/>
  <c r="K72" i="20"/>
  <c r="FA72" i="20" s="1"/>
  <c r="BH71" i="20"/>
  <c r="J74" i="20"/>
  <c r="BG73" i="20"/>
  <c r="BL62" i="20"/>
  <c r="BL63" i="20"/>
  <c r="BL64" i="20"/>
  <c r="BL65" i="20"/>
  <c r="BL66" i="20"/>
  <c r="BL67" i="20"/>
  <c r="BL68" i="20"/>
  <c r="BL69" i="20"/>
  <c r="BL70" i="20"/>
  <c r="BL71" i="20"/>
  <c r="BL72" i="20"/>
  <c r="BL73" i="20"/>
  <c r="BL74" i="20"/>
  <c r="BL61" i="20"/>
  <c r="FC72" i="20" l="1"/>
  <c r="BK71" i="20"/>
  <c r="BR70" i="20"/>
  <c r="BH74" i="20"/>
  <c r="EZ74" i="20"/>
  <c r="DW73" i="20"/>
  <c r="DW72" i="20"/>
  <c r="DY72" i="20" s="1"/>
  <c r="BO72" i="20" s="1"/>
  <c r="CT73" i="20"/>
  <c r="EI72" i="20"/>
  <c r="CT72" i="20"/>
  <c r="EI71" i="20"/>
  <c r="EM71" i="20" s="1"/>
  <c r="EO71" i="20" s="1"/>
  <c r="BQ71" i="20" s="1"/>
  <c r="BV71" i="20" s="1"/>
  <c r="CT74" i="20"/>
  <c r="EJ74" i="20" s="1"/>
  <c r="EI73" i="20"/>
  <c r="K73" i="20"/>
  <c r="FA73" i="20" s="1"/>
  <c r="BH72" i="20"/>
  <c r="L73" i="20"/>
  <c r="BI72" i="20"/>
  <c r="K74" i="20"/>
  <c r="BH73" i="20"/>
  <c r="BT71" i="20"/>
  <c r="BR71" i="20"/>
  <c r="BJ73" i="20" l="1"/>
  <c r="FB73" i="20"/>
  <c r="FC73" i="20" s="1"/>
  <c r="BI74" i="20"/>
  <c r="FA74" i="20"/>
  <c r="BK72" i="20"/>
  <c r="CU73" i="20"/>
  <c r="EJ72" i="20"/>
  <c r="EM72" i="20" s="1"/>
  <c r="EO72" i="20" s="1"/>
  <c r="BQ72" i="20" s="1"/>
  <c r="BV72" i="20" s="1"/>
  <c r="CU74" i="20"/>
  <c r="EK74" i="20" s="1"/>
  <c r="EJ73" i="20"/>
  <c r="L74" i="20"/>
  <c r="BI73" i="20"/>
  <c r="BT72" i="20"/>
  <c r="BR72" i="20"/>
  <c r="DY73" i="20"/>
  <c r="BO73" i="20" s="1"/>
  <c r="DY74" i="20"/>
  <c r="BO74" i="20" s="1"/>
  <c r="BK73" i="20" l="1"/>
  <c r="BJ74" i="20"/>
  <c r="BK74" i="20" s="1"/>
  <c r="FB74" i="20"/>
  <c r="FC74" i="20" s="1"/>
  <c r="CV74" i="20"/>
  <c r="EL74" i="20" s="1"/>
  <c r="EM74" i="20" s="1"/>
  <c r="EO74" i="20" s="1"/>
  <c r="BQ74" i="20" s="1"/>
  <c r="BV74" i="20" s="1"/>
  <c r="EK73" i="20"/>
  <c r="BT74" i="20"/>
  <c r="BR74" i="20"/>
  <c r="BT73" i="20"/>
  <c r="BR73" i="20"/>
  <c r="EM73" i="20" l="1"/>
  <c r="EO73" i="20" s="1"/>
  <c r="BQ73" i="20" s="1"/>
  <c r="BV73" i="20" s="1"/>
  <c r="BM36" i="20"/>
  <c r="BM39" i="20"/>
  <c r="BM23" i="20"/>
  <c r="BM31" i="20"/>
  <c r="BM30" i="20"/>
  <c r="BM59" i="20"/>
  <c r="BM27" i="20"/>
  <c r="BM48" i="20"/>
  <c r="BM32" i="20"/>
  <c r="BM57" i="20"/>
  <c r="BM41" i="20"/>
  <c r="BM25" i="20"/>
  <c r="BM58" i="20"/>
  <c r="BM42" i="20"/>
  <c r="BM26" i="20"/>
  <c r="BM47" i="20"/>
  <c r="BM52" i="20"/>
  <c r="BM45" i="20"/>
  <c r="BM51" i="20"/>
  <c r="BM60" i="20"/>
  <c r="BM44" i="20"/>
  <c r="BM28" i="20"/>
  <c r="BM53" i="20"/>
  <c r="BM37" i="20"/>
  <c r="BM43" i="20"/>
  <c r="BM54" i="20"/>
  <c r="BM38" i="20"/>
  <c r="BM22" i="20"/>
  <c r="BM29" i="20"/>
  <c r="BM46" i="20"/>
  <c r="BM55" i="20"/>
  <c r="BM56" i="20"/>
  <c r="BM40" i="20"/>
  <c r="BM24" i="20"/>
  <c r="BM49" i="20"/>
  <c r="BM33" i="20"/>
  <c r="BM35" i="20"/>
  <c r="BM50" i="20"/>
  <c r="BM34" i="20"/>
  <c r="BM21" i="20"/>
  <c r="FE61" i="20" l="1"/>
  <c r="BP61" i="20" s="1"/>
  <c r="BM61" i="20"/>
  <c r="BM62" i="20" l="1"/>
  <c r="FE62" i="20"/>
  <c r="BP62" i="20" s="1"/>
  <c r="FE63" i="20" l="1"/>
  <c r="BM63" i="20"/>
  <c r="BS63" i="20" s="1"/>
  <c r="BP63" i="20" l="1"/>
  <c r="BU63" i="20" s="1"/>
  <c r="FE64" i="20"/>
  <c r="BM64" i="20"/>
  <c r="BS64" i="20" s="1"/>
  <c r="BP64" i="20" l="1"/>
  <c r="BU64" i="20" s="1"/>
  <c r="FE65" i="20"/>
  <c r="BM65" i="20"/>
  <c r="BS65" i="20" s="1"/>
  <c r="BP65" i="20" l="1"/>
  <c r="BU65" i="20" s="1"/>
  <c r="FE66" i="20"/>
  <c r="BM66" i="20"/>
  <c r="BS66" i="20" s="1"/>
  <c r="BP66" i="20" l="1"/>
  <c r="BU66" i="20" s="1"/>
  <c r="FE67" i="20"/>
  <c r="BM67" i="20"/>
  <c r="BS67" i="20" s="1"/>
  <c r="BP67" i="20" l="1"/>
  <c r="BU67" i="20" s="1"/>
  <c r="FE68" i="20"/>
  <c r="BM68" i="20"/>
  <c r="BS68" i="20" s="1"/>
  <c r="BP68" i="20" l="1"/>
  <c r="BU68" i="20" s="1"/>
  <c r="FE69" i="20"/>
  <c r="BM69" i="20"/>
  <c r="BS69" i="20" s="1"/>
  <c r="BP69" i="20" l="1"/>
  <c r="BU69" i="20" s="1"/>
  <c r="FE70" i="20"/>
  <c r="BM70" i="20"/>
  <c r="BS70" i="20" s="1"/>
  <c r="BP70" i="20" l="1"/>
  <c r="BU70" i="20" s="1"/>
  <c r="FE71" i="20"/>
  <c r="BP71" i="20" l="1"/>
  <c r="BU71" i="20" s="1"/>
  <c r="FE72" i="20"/>
  <c r="BP72" i="20" l="1"/>
  <c r="BU72" i="20" s="1"/>
  <c r="FE73" i="20"/>
  <c r="BM72" i="20"/>
  <c r="BS72" i="20" s="1"/>
  <c r="BM73" i="20"/>
  <c r="BS73" i="20" s="1"/>
  <c r="BM71" i="20"/>
  <c r="BS71" i="20" s="1"/>
  <c r="BP73" i="20" l="1"/>
  <c r="BU73" i="20" s="1"/>
  <c r="FE74" i="20"/>
  <c r="BM74" i="20"/>
  <c r="BS74" i="20" s="1"/>
  <c r="B11" i="20" s="1"/>
  <c r="BP74" i="20" l="1"/>
  <c r="BU74" i="20" s="1"/>
  <c r="B13" i="20" s="1"/>
  <c r="B14" i="20"/>
  <c r="B12" i="20"/>
  <c r="AN77" i="20"/>
  <c r="AK77" i="20"/>
  <c r="AJ77" i="20"/>
  <c r="AM77" i="20"/>
  <c r="AL77" i="20"/>
</calcChain>
</file>

<file path=xl/sharedStrings.xml><?xml version="1.0" encoding="utf-8"?>
<sst xmlns="http://schemas.openxmlformats.org/spreadsheetml/2006/main" count="116" uniqueCount="68">
  <si>
    <t>survival rates</t>
  </si>
  <si>
    <t>startups</t>
  </si>
  <si>
    <t>0to10</t>
  </si>
  <si>
    <t>11+</t>
  </si>
  <si>
    <t>estimated trend</t>
  </si>
  <si>
    <t xml:space="preserve">length of recovery (years) </t>
  </si>
  <si>
    <t>initial (2020) drops in</t>
  </si>
  <si>
    <t>bounceback size</t>
  </si>
  <si>
    <t>bounceback length (years)</t>
  </si>
  <si>
    <t>2020 cohort</t>
  </si>
  <si>
    <t>growth potential</t>
  </si>
  <si>
    <t>all</t>
  </si>
  <si>
    <t>all unaffected</t>
  </si>
  <si>
    <t>Growth Potential</t>
  </si>
  <si>
    <t>Scenarios of COVID-19 impact</t>
  </si>
  <si>
    <t># Startups</t>
  </si>
  <si>
    <t>Survival rate</t>
  </si>
  <si>
    <t>lengths</t>
  </si>
  <si>
    <t>growth pot</t>
  </si>
  <si>
    <t>survival</t>
  </si>
  <si>
    <t>Size of bounce-back</t>
  </si>
  <si>
    <t>bounceback indicator</t>
  </si>
  <si>
    <t>2008 cohort</t>
  </si>
  <si>
    <t xml:space="preserve">average </t>
  </si>
  <si>
    <t>Growth potential</t>
  </si>
  <si>
    <t>Number of startups</t>
  </si>
  <si>
    <t>scroll bar inputs</t>
  </si>
  <si>
    <t>bounceback lengths</t>
  </si>
  <si>
    <t>for trend calc</t>
  </si>
  <si>
    <t>2008 onwards</t>
  </si>
  <si>
    <t>2020 onwards</t>
  </si>
  <si>
    <t>aggregate employment</t>
  </si>
  <si>
    <t>max</t>
  </si>
  <si>
    <t>min</t>
  </si>
  <si>
    <t>2008-2013</t>
  </si>
  <si>
    <t>2020-2025</t>
  </si>
  <si>
    <t>cumulated aggregate employment loss, 2020-2030 (millions of jobs)</t>
  </si>
  <si>
    <t>contributions</t>
  </si>
  <si>
    <t>all but startups</t>
  </si>
  <si>
    <t>all but gr.pot.</t>
  </si>
  <si>
    <t>all but survival</t>
  </si>
  <si>
    <t>Counterfactuals</t>
  </si>
  <si>
    <t>Unaffected startups</t>
  </si>
  <si>
    <t>Unaffected survival rates</t>
  </si>
  <si>
    <t>Unaffected growth potential</t>
  </si>
  <si>
    <t>aggregate employment - startups unaffected</t>
  </si>
  <si>
    <t>aggregate employment - growth potential unaffected</t>
  </si>
  <si>
    <t>gr.pot.</t>
  </si>
  <si>
    <t>Size of initial impact</t>
  </si>
  <si>
    <t>firm age</t>
  </si>
  <si>
    <t>1to10</t>
  </si>
  <si>
    <t>avg (1977-2016)</t>
  </si>
  <si>
    <t>scaled down</t>
  </si>
  <si>
    <t>0to5 (cohort)</t>
  </si>
  <si>
    <t>average</t>
  </si>
  <si>
    <t>1y autocorrelation</t>
  </si>
  <si>
    <t>2y autocorrelation</t>
  </si>
  <si>
    <t>23 autocorrelation</t>
  </si>
  <si>
    <t>number of startups</t>
  </si>
  <si>
    <t>startup size</t>
  </si>
  <si>
    <t>size 5y</t>
  </si>
  <si>
    <t>survival rate startups</t>
  </si>
  <si>
    <t>Magnitude (0-100%)</t>
  </si>
  <si>
    <t>Length (0-11 years)</t>
  </si>
  <si>
    <t>(thousands)</t>
  </si>
  <si>
    <t>(startup size)</t>
  </si>
  <si>
    <t>Survival rate of 0 to 10-year old firms</t>
  </si>
  <si>
    <t>(percent)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</si>
</sst>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.0E+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7EEFF"/>
        <bgColor indexed="64"/>
      </patternFill>
    </fill>
    <fill>
      <patternFill patternType="solid">
        <fgColor rgb="FFFFEFE5"/>
        <bgColor indexed="64"/>
      </patternFill>
    </fill>
    <fill>
      <patternFill patternType="solid">
        <fgColor rgb="FFE1FFE5"/>
        <bgColor indexed="64"/>
      </patternFill>
    </fill>
    <fill>
      <patternFill patternType="solid">
        <fgColor rgb="FFFFF2E7"/>
        <bgColor indexed="64"/>
      </patternFill>
    </fill>
    <fill>
      <patternFill patternType="solid">
        <fgColor rgb="FFFFE5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13">
    <xf numFmtId="0" fontId="0" fillId="0" borderId="0" xfId="0"/>
    <xf numFmtId="2" fontId="0" fillId="0" borderId="0" xfId="0" applyNumberFormat="1"/>
    <xf numFmtId="164" fontId="0" fillId="0" borderId="0" xfId="0" applyNumberFormat="1"/>
    <xf numFmtId="0" fontId="0" fillId="3" borderId="0" xfId="0" applyFill="1"/>
    <xf numFmtId="9" fontId="0" fillId="3" borderId="0" xfId="0" applyNumberFormat="1" applyFill="1"/>
    <xf numFmtId="1" fontId="0" fillId="3" borderId="0" xfId="0" applyNumberFormat="1" applyFill="1"/>
    <xf numFmtId="1" fontId="0" fillId="0" borderId="0" xfId="0" applyNumberFormat="1"/>
    <xf numFmtId="165" fontId="0" fillId="0" borderId="0" xfId="0" applyNumberFormat="1"/>
    <xf numFmtId="0" fontId="2" fillId="0" borderId="0" xfId="0" applyFont="1"/>
    <xf numFmtId="0" fontId="0" fillId="2" borderId="0" xfId="0" applyFill="1"/>
    <xf numFmtId="0" fontId="0" fillId="2" borderId="6" xfId="0" applyFill="1" applyBorder="1"/>
    <xf numFmtId="0" fontId="0" fillId="7" borderId="0" xfId="0" applyFill="1"/>
    <xf numFmtId="0" fontId="1" fillId="7" borderId="0" xfId="0" applyFont="1" applyFill="1"/>
    <xf numFmtId="2" fontId="0" fillId="7" borderId="0" xfId="0" applyNumberFormat="1" applyFill="1"/>
    <xf numFmtId="0" fontId="1" fillId="4" borderId="0" xfId="0" applyFont="1" applyFill="1"/>
    <xf numFmtId="0" fontId="0" fillId="4" borderId="0" xfId="0" applyFill="1"/>
    <xf numFmtId="1" fontId="0" fillId="4" borderId="0" xfId="0" applyNumberFormat="1" applyFill="1"/>
    <xf numFmtId="9" fontId="0" fillId="4" borderId="0" xfId="0" applyNumberFormat="1" applyFill="1"/>
    <xf numFmtId="164" fontId="0" fillId="4" borderId="0" xfId="0" applyNumberFormat="1" applyFill="1"/>
    <xf numFmtId="166" fontId="0" fillId="4" borderId="0" xfId="0" applyNumberFormat="1" applyFill="1"/>
    <xf numFmtId="0" fontId="1" fillId="6" borderId="0" xfId="0" applyFont="1" applyFill="1"/>
    <xf numFmtId="0" fontId="0" fillId="6" borderId="0" xfId="0" applyFill="1"/>
    <xf numFmtId="164" fontId="0" fillId="6" borderId="0" xfId="0" applyNumberFormat="1" applyFill="1"/>
    <xf numFmtId="165" fontId="0" fillId="6" borderId="0" xfId="0" applyNumberFormat="1" applyFill="1"/>
    <xf numFmtId="1" fontId="0" fillId="6" borderId="0" xfId="0" applyNumberFormat="1" applyFill="1"/>
    <xf numFmtId="0" fontId="0" fillId="8" borderId="0" xfId="0" applyFill="1"/>
    <xf numFmtId="0" fontId="1" fillId="8" borderId="0" xfId="0" applyFont="1" applyFill="1"/>
    <xf numFmtId="1" fontId="0" fillId="8" borderId="6" xfId="0" applyNumberFormat="1" applyFill="1" applyBorder="1"/>
    <xf numFmtId="1" fontId="0" fillId="8" borderId="0" xfId="0" applyNumberFormat="1" applyFill="1"/>
    <xf numFmtId="1" fontId="0" fillId="8" borderId="7" xfId="0" applyNumberFormat="1" applyFill="1" applyBorder="1"/>
    <xf numFmtId="0" fontId="0" fillId="8" borderId="6" xfId="0" applyFill="1" applyBorder="1"/>
    <xf numFmtId="0" fontId="0" fillId="8" borderId="7" xfId="0" applyFill="1" applyBorder="1"/>
    <xf numFmtId="0" fontId="0" fillId="9" borderId="0" xfId="0" applyFill="1"/>
    <xf numFmtId="1" fontId="0" fillId="9" borderId="0" xfId="0" applyNumberFormat="1" applyFill="1"/>
    <xf numFmtId="2" fontId="0" fillId="9" borderId="0" xfId="0" applyNumberFormat="1" applyFill="1"/>
    <xf numFmtId="0" fontId="1" fillId="10" borderId="0" xfId="0" applyFont="1" applyFill="1"/>
    <xf numFmtId="0" fontId="0" fillId="10" borderId="0" xfId="0" applyFill="1"/>
    <xf numFmtId="1" fontId="0" fillId="10" borderId="0" xfId="0" applyNumberFormat="1" applyFill="1"/>
    <xf numFmtId="167" fontId="0" fillId="10" borderId="0" xfId="0" applyNumberFormat="1" applyFill="1"/>
    <xf numFmtId="164" fontId="0" fillId="10" borderId="0" xfId="0" applyNumberFormat="1" applyFill="1"/>
    <xf numFmtId="11" fontId="0" fillId="10" borderId="0" xfId="0" applyNumberFormat="1" applyFill="1"/>
    <xf numFmtId="165" fontId="0" fillId="10" borderId="0" xfId="0" applyNumberFormat="1" applyFill="1"/>
    <xf numFmtId="165" fontId="0" fillId="7" borderId="0" xfId="0" applyNumberFormat="1" applyFill="1"/>
    <xf numFmtId="0" fontId="1" fillId="0" borderId="0" xfId="0" applyFont="1"/>
    <xf numFmtId="167" fontId="0" fillId="0" borderId="0" xfId="0" applyNumberFormat="1"/>
    <xf numFmtId="0" fontId="0" fillId="11" borderId="6" xfId="0" applyFill="1" applyBorder="1"/>
    <xf numFmtId="164" fontId="0" fillId="11" borderId="0" xfId="0" applyNumberFormat="1" applyFill="1"/>
    <xf numFmtId="0" fontId="0" fillId="11" borderId="0" xfId="0" applyFill="1"/>
    <xf numFmtId="0" fontId="0" fillId="11" borderId="7" xfId="0" applyFill="1" applyBorder="1"/>
    <xf numFmtId="0" fontId="0" fillId="11" borderId="8" xfId="0" applyFill="1" applyBorder="1"/>
    <xf numFmtId="164" fontId="0" fillId="11" borderId="2" xfId="0" applyNumberFormat="1" applyFill="1" applyBorder="1"/>
    <xf numFmtId="0" fontId="0" fillId="11" borderId="2" xfId="0" applyFill="1" applyBorder="1"/>
    <xf numFmtId="0" fontId="0" fillId="11" borderId="9" xfId="0" applyFill="1" applyBorder="1"/>
    <xf numFmtId="0" fontId="1" fillId="11" borderId="4" xfId="0" applyFont="1" applyFill="1" applyBorder="1"/>
    <xf numFmtId="0" fontId="1" fillId="11" borderId="3" xfId="0" applyFont="1" applyFill="1" applyBorder="1"/>
    <xf numFmtId="0" fontId="1" fillId="11" borderId="5" xfId="0" applyFont="1" applyFill="1" applyBorder="1"/>
    <xf numFmtId="165" fontId="0" fillId="4" borderId="0" xfId="0" applyNumberFormat="1" applyFill="1"/>
    <xf numFmtId="0" fontId="0" fillId="4" borderId="1" xfId="0" applyFill="1" applyBorder="1"/>
    <xf numFmtId="0" fontId="0" fillId="12" borderId="1" xfId="0" applyFill="1" applyBorder="1"/>
    <xf numFmtId="1" fontId="0" fillId="12" borderId="0" xfId="0" applyNumberFormat="1" applyFill="1"/>
    <xf numFmtId="165" fontId="0" fillId="3" borderId="0" xfId="0" applyNumberFormat="1" applyFill="1"/>
    <xf numFmtId="0" fontId="0" fillId="6" borderId="1" xfId="0" applyFill="1" applyBorder="1"/>
    <xf numFmtId="0" fontId="0" fillId="3" borderId="1" xfId="0" applyFill="1" applyBorder="1"/>
    <xf numFmtId="0" fontId="0" fillId="7" borderId="1" xfId="0" applyFill="1" applyBorder="1"/>
    <xf numFmtId="0" fontId="0" fillId="13" borderId="1" xfId="0" applyFill="1" applyBorder="1"/>
    <xf numFmtId="2" fontId="0" fillId="13" borderId="1" xfId="0" applyNumberFormat="1" applyFill="1" applyBorder="1"/>
    <xf numFmtId="2" fontId="0" fillId="13" borderId="0" xfId="0" applyNumberFormat="1" applyFill="1"/>
    <xf numFmtId="0" fontId="0" fillId="10" borderId="1" xfId="0" applyFill="1" applyBorder="1"/>
    <xf numFmtId="2" fontId="0" fillId="10" borderId="0" xfId="0" applyNumberFormat="1" applyFill="1"/>
    <xf numFmtId="9" fontId="0" fillId="8" borderId="4" xfId="0" applyNumberFormat="1" applyFill="1" applyBorder="1"/>
    <xf numFmtId="9" fontId="0" fillId="8" borderId="3" xfId="0" applyNumberFormat="1" applyFill="1" applyBorder="1"/>
    <xf numFmtId="9" fontId="0" fillId="8" borderId="5" xfId="0" applyNumberFormat="1" applyFill="1" applyBorder="1"/>
    <xf numFmtId="9" fontId="0" fillId="8" borderId="8" xfId="0" applyNumberFormat="1" applyFill="1" applyBorder="1"/>
    <xf numFmtId="9" fontId="0" fillId="8" borderId="2" xfId="0" applyNumberFormat="1" applyFill="1" applyBorder="1"/>
    <xf numFmtId="9" fontId="0" fillId="8" borderId="9" xfId="0" applyNumberFormat="1" applyFill="1" applyBorder="1"/>
    <xf numFmtId="0" fontId="0" fillId="0" borderId="6" xfId="0" applyBorder="1"/>
    <xf numFmtId="0" fontId="2" fillId="0" borderId="6" xfId="0" applyFont="1" applyBorder="1"/>
    <xf numFmtId="0" fontId="2" fillId="0" borderId="8" xfId="0" applyFont="1" applyBorder="1"/>
    <xf numFmtId="0" fontId="2" fillId="0" borderId="2" xfId="0" applyFont="1" applyBorder="1"/>
    <xf numFmtId="0" fontId="4" fillId="2" borderId="4" xfId="0" applyFont="1" applyFill="1" applyBorder="1"/>
    <xf numFmtId="0" fontId="4" fillId="2" borderId="3" xfId="0" applyFont="1" applyFill="1" applyBorder="1"/>
    <xf numFmtId="0" fontId="4" fillId="2" borderId="6" xfId="0" applyFont="1" applyFill="1" applyBorder="1"/>
    <xf numFmtId="0" fontId="4" fillId="2" borderId="0" xfId="0" applyFont="1" applyFill="1"/>
    <xf numFmtId="0" fontId="5" fillId="4" borderId="6" xfId="0" applyFont="1" applyFill="1" applyBorder="1" applyAlignment="1">
      <alignment horizontal="left"/>
    </xf>
    <xf numFmtId="0" fontId="5" fillId="4" borderId="6" xfId="0" applyFont="1" applyFill="1" applyBorder="1" applyAlignment="1">
      <alignment horizontal="right"/>
    </xf>
    <xf numFmtId="0" fontId="4" fillId="4" borderId="0" xfId="0" applyFont="1" applyFill="1"/>
    <xf numFmtId="0" fontId="5" fillId="5" borderId="6" xfId="0" applyFont="1" applyFill="1" applyBorder="1" applyAlignment="1">
      <alignment horizontal="left"/>
    </xf>
    <xf numFmtId="0" fontId="5" fillId="5" borderId="6" xfId="0" applyFont="1" applyFill="1" applyBorder="1" applyAlignment="1">
      <alignment horizontal="right"/>
    </xf>
    <xf numFmtId="0" fontId="4" fillId="7" borderId="0" xfId="0" applyFont="1" applyFill="1"/>
    <xf numFmtId="0" fontId="5" fillId="6" borderId="8" xfId="0" applyFont="1" applyFill="1" applyBorder="1" applyAlignment="1">
      <alignment horizontal="left"/>
    </xf>
    <xf numFmtId="0" fontId="5" fillId="6" borderId="8" xfId="0" applyFont="1" applyFill="1" applyBorder="1" applyAlignment="1">
      <alignment horizontal="right"/>
    </xf>
    <xf numFmtId="0" fontId="4" fillId="6" borderId="2" xfId="0" applyFont="1" applyFill="1" applyBorder="1"/>
    <xf numFmtId="0" fontId="4" fillId="2" borderId="8" xfId="0" applyFont="1" applyFill="1" applyBorder="1"/>
    <xf numFmtId="0" fontId="4" fillId="2" borderId="2" xfId="0" applyFont="1" applyFill="1" applyBorder="1"/>
    <xf numFmtId="0" fontId="2" fillId="2" borderId="0" xfId="0" applyFont="1" applyFill="1"/>
    <xf numFmtId="0" fontId="6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9" fontId="4" fillId="4" borderId="0" xfId="1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9" fontId="4" fillId="6" borderId="2" xfId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9" fontId="4" fillId="7" borderId="0" xfId="1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E7EEFF"/>
      <color rgb="FFFFF2E7"/>
      <color rgb="FFE1FFE5"/>
      <color rgb="FFFFE5F6"/>
      <color rgb="FFFEFFE1"/>
      <color rgb="FFFFEFE5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Aggregate Employment (millions of jobs)</a:t>
            </a:r>
          </a:p>
        </c:rich>
      </c:tx>
      <c:layout>
        <c:manualLayout>
          <c:xMode val="edge"/>
          <c:yMode val="edge"/>
          <c:x val="0.40399161140264728"/>
          <c:y val="6.0301507537688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652882976602362"/>
          <c:y val="4.6921779664228599E-2"/>
          <c:w val="0.86239881159274334"/>
          <c:h val="0.83369113406395012"/>
        </c:manualLayout>
      </c:layout>
      <c:lineChart>
        <c:grouping val="standard"/>
        <c:varyColors val="0"/>
        <c:ser>
          <c:idx val="1"/>
          <c:order val="0"/>
          <c:tx>
            <c:v>Selected COVID-19 Scenario</c:v>
          </c:tx>
          <c:spPr>
            <a:ln w="508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Plumbing!$A$63:$A$74</c:f>
              <c:numCache>
                <c:formatCode>General</c:formatCod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numCache>
            </c:numRef>
          </c:cat>
          <c:val>
            <c:numRef>
              <c:f>Plumbing!$BS$63:$BS$74</c:f>
              <c:numCache>
                <c:formatCode>0.00</c:formatCode>
                <c:ptCount val="12"/>
                <c:pt idx="0">
                  <c:v>0</c:v>
                </c:pt>
                <c:pt idx="1">
                  <c:v>-1.506900532402575</c:v>
                </c:pt>
                <c:pt idx="2">
                  <c:v>-1.4156489780538082</c:v>
                </c:pt>
                <c:pt idx="3">
                  <c:v>-1.2629408501107096</c:v>
                </c:pt>
                <c:pt idx="4">
                  <c:v>-1.1352234366199672</c:v>
                </c:pt>
                <c:pt idx="5">
                  <c:v>-1.0228053917488158</c:v>
                </c:pt>
                <c:pt idx="6">
                  <c:v>-0.92175346943199632</c:v>
                </c:pt>
                <c:pt idx="7">
                  <c:v>-0.8188930597526729</c:v>
                </c:pt>
                <c:pt idx="8">
                  <c:v>-0.73110605626565217</c:v>
                </c:pt>
                <c:pt idx="9">
                  <c:v>-0.65429482489964363</c:v>
                </c:pt>
                <c:pt idx="10">
                  <c:v>-0.58311523094487194</c:v>
                </c:pt>
                <c:pt idx="11">
                  <c:v>-0.51738855885857349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BB-4C2D-B594-E043CCFCF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5666496"/>
        <c:axId val="475671088"/>
      </c:lineChart>
      <c:catAx>
        <c:axId val="47566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671088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47567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lg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deviation from trend</a:t>
                </a:r>
              </a:p>
            </c:rich>
          </c:tx>
          <c:layout>
            <c:manualLayout>
              <c:xMode val="edge"/>
              <c:yMode val="edge"/>
              <c:x val="1.4834825392809375E-2"/>
              <c:y val="0.259647484815181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666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479635596031734"/>
          <c:y val="0.2329496675761159"/>
          <c:w val="0.48083418539985284"/>
          <c:h val="8.4807897756499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 sz="1400" baseline="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89542687815351"/>
          <c:y val="3.6019466186352177E-2"/>
          <c:w val="0.85979235515462737"/>
          <c:h val="0.79644882391963434"/>
        </c:manualLayout>
      </c:layout>
      <c:lineChart>
        <c:grouping val="standard"/>
        <c:varyColors val="0"/>
        <c:ser>
          <c:idx val="1"/>
          <c:order val="0"/>
          <c:tx>
            <c:v>COVID scenario</c:v>
          </c:tx>
          <c:spPr>
            <a:ln w="508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Plumbing!$A$64:$A$69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Plumbing!$O$64:$O$69</c:f>
              <c:numCache>
                <c:formatCode>0.0</c:formatCode>
                <c:ptCount val="6"/>
                <c:pt idx="0">
                  <c:v>383.52580000000006</c:v>
                </c:pt>
                <c:pt idx="1">
                  <c:v>479.40725000000003</c:v>
                </c:pt>
                <c:pt idx="2">
                  <c:v>479.40725000000003</c:v>
                </c:pt>
                <c:pt idx="3">
                  <c:v>479.40725000000003</c:v>
                </c:pt>
                <c:pt idx="4">
                  <c:v>479.40725000000003</c:v>
                </c:pt>
                <c:pt idx="5">
                  <c:v>479.40725000000003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05-46C8-A8F4-75847DE7EC6E}"/>
            </c:ext>
          </c:extLst>
        </c:ser>
        <c:ser>
          <c:idx val="2"/>
          <c:order val="1"/>
          <c:tx>
            <c:v>average</c:v>
          </c:tx>
          <c:spPr>
            <a:ln w="3810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Plumbing!$A$64:$A$69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Plumbing!$N$64:$N$69</c:f>
              <c:numCache>
                <c:formatCode>0.0</c:formatCode>
                <c:ptCount val="6"/>
                <c:pt idx="0">
                  <c:v>479.40725000000003</c:v>
                </c:pt>
                <c:pt idx="1">
                  <c:v>479.40725000000003</c:v>
                </c:pt>
                <c:pt idx="2">
                  <c:v>479.40725000000003</c:v>
                </c:pt>
                <c:pt idx="3">
                  <c:v>479.40725000000003</c:v>
                </c:pt>
                <c:pt idx="4">
                  <c:v>479.40725000000003</c:v>
                </c:pt>
                <c:pt idx="5">
                  <c:v>479.40725000000003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2-45A9-BDC8-09C593651881}"/>
            </c:ext>
          </c:extLst>
        </c:ser>
        <c:ser>
          <c:idx val="3"/>
          <c:order val="2"/>
          <c:tx>
            <c:v>max</c:v>
          </c:tx>
          <c:spPr>
            <a:ln w="38100" cap="rnd">
              <a:solidFill>
                <a:schemeClr val="accent3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Plumbing!$A$64:$A$69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Plumbing!$B$76:$G$76</c:f>
              <c:numCache>
                <c:formatCode>0</c:formatCode>
                <c:ptCount val="6"/>
                <c:pt idx="0">
                  <c:v>564.91600000000005</c:v>
                </c:pt>
                <c:pt idx="1">
                  <c:v>564.91600000000005</c:v>
                </c:pt>
                <c:pt idx="2">
                  <c:v>564.91600000000005</c:v>
                </c:pt>
                <c:pt idx="3">
                  <c:v>564.91600000000005</c:v>
                </c:pt>
                <c:pt idx="4">
                  <c:v>564.91600000000005</c:v>
                </c:pt>
                <c:pt idx="5">
                  <c:v>564.91600000000005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0F-4A11-87B9-170F72A146D4}"/>
            </c:ext>
          </c:extLst>
        </c:ser>
        <c:ser>
          <c:idx val="4"/>
          <c:order val="3"/>
          <c:tx>
            <c:v>min</c:v>
          </c:tx>
          <c:spPr>
            <a:ln w="38100" cap="rnd">
              <a:solidFill>
                <a:schemeClr val="accent2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Plumbing!$A$64:$A$69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Plumbing!$B$77:$G$77</c:f>
              <c:numCache>
                <c:formatCode>0</c:formatCode>
                <c:ptCount val="6"/>
                <c:pt idx="0">
                  <c:v>385.358</c:v>
                </c:pt>
                <c:pt idx="1">
                  <c:v>385.358</c:v>
                </c:pt>
                <c:pt idx="2">
                  <c:v>385.358</c:v>
                </c:pt>
                <c:pt idx="3">
                  <c:v>385.358</c:v>
                </c:pt>
                <c:pt idx="4">
                  <c:v>385.358</c:v>
                </c:pt>
                <c:pt idx="5">
                  <c:v>385.358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0F-4A11-87B9-170F72A14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6346640"/>
        <c:axId val="596347296"/>
      </c:lineChart>
      <c:catAx>
        <c:axId val="596346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6347296"/>
        <c:crosses val="autoZero"/>
        <c:auto val="1"/>
        <c:lblAlgn val="ctr"/>
        <c:lblOffset val="100"/>
        <c:noMultiLvlLbl val="0"/>
      </c:catAx>
      <c:valAx>
        <c:axId val="596347296"/>
        <c:scaling>
          <c:orientation val="minMax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6346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1458549690841763"/>
          <c:y val="0.61678352243540635"/>
          <c:w val="0.86515268643820942"/>
          <c:h val="0.219876445301587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7EEFF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027305513014815E-2"/>
          <c:y val="3.5985355123828437E-2"/>
          <c:w val="0.89975657638075424"/>
          <c:h val="0.81205900307426082"/>
        </c:manualLayout>
      </c:layout>
      <c:lineChart>
        <c:grouping val="standard"/>
        <c:varyColors val="0"/>
        <c:ser>
          <c:idx val="3"/>
          <c:order val="0"/>
          <c:tx>
            <c:v>COVID scenario</c:v>
          </c:tx>
          <c:spPr>
            <a:ln w="508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Plumbing!$A$64:$A$69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Plumbing!$AW$64:$AW$69</c:f>
              <c:numCache>
                <c:formatCode>0.00</c:formatCode>
                <c:ptCount val="6"/>
                <c:pt idx="0">
                  <c:v>5.4418464618023217</c:v>
                </c:pt>
                <c:pt idx="1">
                  <c:v>6.0464960686692457</c:v>
                </c:pt>
                <c:pt idx="2">
                  <c:v>6.0464960686692457</c:v>
                </c:pt>
                <c:pt idx="3">
                  <c:v>6.0464960686692457</c:v>
                </c:pt>
                <c:pt idx="4">
                  <c:v>6.0464960686692457</c:v>
                </c:pt>
                <c:pt idx="5">
                  <c:v>6.0464960686692457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4D-496B-BD84-9F9855650D02}"/>
            </c:ext>
          </c:extLst>
        </c:ser>
        <c:ser>
          <c:idx val="1"/>
          <c:order val="1"/>
          <c:tx>
            <c:v>average</c:v>
          </c:tx>
          <c:spPr>
            <a:ln w="3810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Plumbing!$A$64:$A$69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Plumbing!$AV$64:$AV$69</c:f>
              <c:numCache>
                <c:formatCode>0.00</c:formatCode>
                <c:ptCount val="6"/>
                <c:pt idx="0">
                  <c:v>6.0464960686692457</c:v>
                </c:pt>
                <c:pt idx="1">
                  <c:v>6.0464960686692457</c:v>
                </c:pt>
                <c:pt idx="2">
                  <c:v>6.0464960686692457</c:v>
                </c:pt>
                <c:pt idx="3">
                  <c:v>6.0464960686692457</c:v>
                </c:pt>
                <c:pt idx="4">
                  <c:v>6.0464960686692457</c:v>
                </c:pt>
                <c:pt idx="5">
                  <c:v>6.0464960686692457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4D-496B-BD84-9F9855650D02}"/>
            </c:ext>
          </c:extLst>
        </c:ser>
        <c:ser>
          <c:idx val="2"/>
          <c:order val="2"/>
          <c:tx>
            <c:v>max</c:v>
          </c:tx>
          <c:spPr>
            <a:ln w="38100" cap="rnd">
              <a:solidFill>
                <a:schemeClr val="accent3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Plumbing!$A$64:$A$69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Plumbing!$AI$76:$AN$76</c:f>
              <c:numCache>
                <c:formatCode>0.00</c:formatCode>
                <c:ptCount val="6"/>
                <c:pt idx="0">
                  <c:v>6.7405152569265088</c:v>
                </c:pt>
                <c:pt idx="1">
                  <c:v>6.7405152569265088</c:v>
                </c:pt>
                <c:pt idx="2">
                  <c:v>6.7405152569265088</c:v>
                </c:pt>
                <c:pt idx="3">
                  <c:v>6.7405152569265088</c:v>
                </c:pt>
                <c:pt idx="4">
                  <c:v>6.7405152569265088</c:v>
                </c:pt>
                <c:pt idx="5">
                  <c:v>6.7405152569265088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A-4994-8FB6-1BA644CF9ADB}"/>
            </c:ext>
          </c:extLst>
        </c:ser>
        <c:ser>
          <c:idx val="4"/>
          <c:order val="3"/>
          <c:tx>
            <c:v>min</c:v>
          </c:tx>
          <c:spPr>
            <a:ln w="38100" cap="rnd">
              <a:solidFill>
                <a:schemeClr val="accent2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Plumbing!$A$64:$A$69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Plumbing!$AI$77:$AN$77</c:f>
              <c:numCache>
                <c:formatCode>0.00</c:formatCode>
                <c:ptCount val="6"/>
                <c:pt idx="0">
                  <c:v>5.3918809786954567</c:v>
                </c:pt>
                <c:pt idx="1">
                  <c:v>5.3918809786954567</c:v>
                </c:pt>
                <c:pt idx="2">
                  <c:v>5.3918809786954567</c:v>
                </c:pt>
                <c:pt idx="3">
                  <c:v>5.3918809786954567</c:v>
                </c:pt>
                <c:pt idx="4">
                  <c:v>5.3918809786954567</c:v>
                </c:pt>
                <c:pt idx="5">
                  <c:v>5.3918809786954567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A-4994-8FB6-1BA644CF9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1607728"/>
        <c:axId val="461608712"/>
      </c:lineChart>
      <c:catAx>
        <c:axId val="46160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608712"/>
        <c:crosses val="autoZero"/>
        <c:auto val="1"/>
        <c:lblAlgn val="ctr"/>
        <c:lblOffset val="100"/>
        <c:noMultiLvlLbl val="0"/>
      </c:catAx>
      <c:valAx>
        <c:axId val="461608712"/>
        <c:scaling>
          <c:orientation val="minMax"/>
          <c:min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607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0913118891590562E-2"/>
          <c:y val="0.60245708726896163"/>
          <c:w val="0.89021226001220377"/>
          <c:h val="0.241332950791010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EFE5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 sz="2000" baseline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810617638028578E-2"/>
          <c:y val="8.2971096892062585E-2"/>
          <c:w val="0.8893316263822757"/>
          <c:h val="0.76855312577942758"/>
        </c:manualLayout>
      </c:layout>
      <c:lineChart>
        <c:grouping val="standard"/>
        <c:varyColors val="0"/>
        <c:ser>
          <c:idx val="1"/>
          <c:order val="0"/>
          <c:tx>
            <c:v>COVID scenario</c:v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Plumbing!$A$64:$A$69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Plumbing!$AF$64:$AF$69</c:f>
              <c:numCache>
                <c:formatCode>0.0</c:formatCode>
                <c:ptCount val="6"/>
                <c:pt idx="0">
                  <c:v>84.76149260611551</c:v>
                </c:pt>
                <c:pt idx="1">
                  <c:v>87.382982068160317</c:v>
                </c:pt>
                <c:pt idx="2">
                  <c:v>87.382982068160317</c:v>
                </c:pt>
                <c:pt idx="3">
                  <c:v>87.382982068160317</c:v>
                </c:pt>
                <c:pt idx="4">
                  <c:v>87.382982068160317</c:v>
                </c:pt>
                <c:pt idx="5">
                  <c:v>87.382982068160317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2A-441B-A7D8-64C5A1341757}"/>
            </c:ext>
          </c:extLst>
        </c:ser>
        <c:ser>
          <c:idx val="2"/>
          <c:order val="1"/>
          <c:tx>
            <c:v>average</c:v>
          </c:tx>
          <c:spPr>
            <a:ln w="3810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Plumbing!$A$64:$A$69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Plumbing!$AE$64:$AE$69</c:f>
              <c:numCache>
                <c:formatCode>0.0</c:formatCode>
                <c:ptCount val="6"/>
                <c:pt idx="0">
                  <c:v>87.382982068160317</c:v>
                </c:pt>
                <c:pt idx="1">
                  <c:v>87.382982068160317</c:v>
                </c:pt>
                <c:pt idx="2">
                  <c:v>87.382982068160317</c:v>
                </c:pt>
                <c:pt idx="3">
                  <c:v>87.382982068160317</c:v>
                </c:pt>
                <c:pt idx="4">
                  <c:v>87.382982068160317</c:v>
                </c:pt>
                <c:pt idx="5">
                  <c:v>87.382982068160317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E-4796-8B1F-F53A091E9DF7}"/>
            </c:ext>
          </c:extLst>
        </c:ser>
        <c:ser>
          <c:idx val="3"/>
          <c:order val="2"/>
          <c:tx>
            <c:v>max</c:v>
          </c:tx>
          <c:spPr>
            <a:ln w="38100" cap="rnd">
              <a:solidFill>
                <a:schemeClr val="accent3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Plumbing!$A$64:$A$69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Plumbing!$S$76:$X$76</c:f>
              <c:numCache>
                <c:formatCode>0.000</c:formatCode>
                <c:ptCount val="6"/>
                <c:pt idx="0">
                  <c:v>88.796224948118805</c:v>
                </c:pt>
                <c:pt idx="1">
                  <c:v>88.796224948118805</c:v>
                </c:pt>
                <c:pt idx="2">
                  <c:v>88.796224948118805</c:v>
                </c:pt>
                <c:pt idx="3">
                  <c:v>88.796224948118805</c:v>
                </c:pt>
                <c:pt idx="4">
                  <c:v>88.796224948118805</c:v>
                </c:pt>
                <c:pt idx="5">
                  <c:v>88.796224948118805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D-435D-9591-F27811D4D19F}"/>
            </c:ext>
          </c:extLst>
        </c:ser>
        <c:ser>
          <c:idx val="4"/>
          <c:order val="3"/>
          <c:tx>
            <c:v>min</c:v>
          </c:tx>
          <c:spPr>
            <a:ln w="38100" cap="rnd">
              <a:solidFill>
                <a:schemeClr val="accent2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Plumbing!$A$64:$A$69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Plumbing!$S$77:$X$77</c:f>
              <c:numCache>
                <c:formatCode>0.000</c:formatCode>
                <c:ptCount val="6"/>
                <c:pt idx="0">
                  <c:v>84.827961343421549</c:v>
                </c:pt>
                <c:pt idx="1">
                  <c:v>84.827961343421549</c:v>
                </c:pt>
                <c:pt idx="2">
                  <c:v>84.827961343421549</c:v>
                </c:pt>
                <c:pt idx="3">
                  <c:v>84.827961343421549</c:v>
                </c:pt>
                <c:pt idx="4">
                  <c:v>84.827961343421549</c:v>
                </c:pt>
                <c:pt idx="5">
                  <c:v>84.827961343421549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9D-435D-9591-F27811D4D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1617240"/>
        <c:axId val="461609696"/>
      </c:lineChart>
      <c:catAx>
        <c:axId val="461617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609696"/>
        <c:crosses val="autoZero"/>
        <c:auto val="1"/>
        <c:lblAlgn val="ctr"/>
        <c:lblOffset val="100"/>
        <c:noMultiLvlLbl val="0"/>
      </c:catAx>
      <c:valAx>
        <c:axId val="461609696"/>
        <c:scaling>
          <c:orientation val="minMax"/>
          <c:max val="89"/>
          <c:min val="8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617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529109038275967E-2"/>
          <c:y val="0.60106116445220314"/>
          <c:w val="0.86344179248178843"/>
          <c:h val="0.251866938221317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1FFE5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500" baseline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2290" y="3870730"/>
    <xdr:ext cx="9770388" cy="464411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25831" y="1616570"/>
    <xdr:ext cx="3254644" cy="221926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absoluteAnchor>
    <xdr:pos x="3286933" y="1611598"/>
    <xdr:ext cx="3248186" cy="223069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absoluteAnchor>
    <xdr:pos x="6535118" y="1615113"/>
    <xdr:ext cx="3267559" cy="2227176"/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absoluteAnchor>
  <xdr:twoCellAnchor>
    <xdr:from>
      <xdr:col>5</xdr:col>
      <xdr:colOff>290595</xdr:colOff>
      <xdr:row>38</xdr:row>
      <xdr:rowOff>136183</xdr:rowOff>
    </xdr:from>
    <xdr:to>
      <xdr:col>11</xdr:col>
      <xdr:colOff>477936</xdr:colOff>
      <xdr:row>40</xdr:row>
      <xdr:rowOff>82489</xdr:rowOff>
    </xdr:to>
    <xdr:sp macro="" textlink="Plumbing!B11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228815" y="7459132"/>
          <a:ext cx="2983494" cy="6049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i="0" u="none" strike="noStrike">
              <a:solidFill>
                <a:srgbClr val="C00000"/>
              </a:solidFill>
              <a:latin typeface="Calibri"/>
              <a:cs typeface="Calibri"/>
            </a:rPr>
            <a:t>Cumulative job</a:t>
          </a:r>
          <a:r>
            <a:rPr lang="en-US" sz="1400" b="1" i="0" u="none" strike="noStrike" baseline="0">
              <a:solidFill>
                <a:srgbClr val="C00000"/>
              </a:solidFill>
              <a:latin typeface="Calibri"/>
              <a:cs typeface="Calibri"/>
            </a:rPr>
            <a:t> loss (millions of jobs):</a:t>
          </a:r>
          <a:endParaRPr lang="en-US" sz="3200" b="1">
            <a:solidFill>
              <a:srgbClr val="C00000"/>
            </a:solidFill>
          </a:endParaRPr>
        </a:p>
      </xdr:txBody>
    </xdr:sp>
    <xdr:clientData/>
  </xdr:twoCellAnchor>
  <xdr:twoCellAnchor>
    <xdr:from>
      <xdr:col>11</xdr:col>
      <xdr:colOff>539483</xdr:colOff>
      <xdr:row>38</xdr:row>
      <xdr:rowOff>135205</xdr:rowOff>
    </xdr:from>
    <xdr:to>
      <xdr:col>13</xdr:col>
      <xdr:colOff>181423</xdr:colOff>
      <xdr:row>40</xdr:row>
      <xdr:rowOff>172225</xdr:rowOff>
    </xdr:to>
    <xdr:sp macro="" textlink="Plumbing!B11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273856" y="7458154"/>
          <a:ext cx="1069075" cy="6956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6184E75-F6DA-4454-AC80-FB4BF182311E}" type="TxLink">
            <a:rPr lang="en-US" sz="1400" b="1" i="0" u="none" strike="noStrike">
              <a:solidFill>
                <a:srgbClr val="C00000"/>
              </a:solidFill>
              <a:latin typeface="Calibri"/>
              <a:cs typeface="Calibri"/>
            </a:rPr>
            <a:pPr/>
            <a:t>-10.6</a:t>
          </a:fld>
          <a:endParaRPr lang="en-US" sz="1800" b="1">
            <a:solidFill>
              <a:srgbClr val="C00000"/>
            </a:solidFill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0.74412</cdr:x>
      <cdr:y>0.33746</cdr:y>
    </cdr:from>
    <cdr:to>
      <cdr:x>0.81128</cdr:x>
      <cdr:y>0.43181</cdr:y>
    </cdr:to>
    <cdr:sp macro="" textlink="Plumbing!$B$11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CEF2940-5B71-4524-B079-37133F197A11}"/>
            </a:ext>
          </a:extLst>
        </cdr:cNvPr>
        <cdr:cNvSpPr txBox="1"/>
      </cdr:nvSpPr>
      <cdr:spPr>
        <a:xfrm xmlns:a="http://schemas.openxmlformats.org/drawingml/2006/main">
          <a:off x="10051143" y="1460044"/>
          <a:ext cx="907143" cy="4082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7E223-77CB-4308-A0E6-282BE1653415}">
  <sheetPr codeName="Sheet1">
    <tabColor rgb="FF92D050"/>
  </sheetPr>
  <dimension ref="A1:W42"/>
  <sheetViews>
    <sheetView tabSelected="1" zoomScale="59" zoomScaleNormal="76" workbookViewId="0">
      <selection activeCell="Z13" sqref="Z13"/>
    </sheetView>
  </sheetViews>
  <sheetFormatPr defaultRowHeight="14.4" x14ac:dyDescent="0.3"/>
  <cols>
    <col min="1" max="2" width="8.88671875" style="9"/>
    <col min="3" max="3" width="5.21875" style="9" customWidth="1"/>
    <col min="4" max="5" width="8.88671875" style="9"/>
    <col min="6" max="7" width="5.21875" style="9" customWidth="1"/>
    <col min="8" max="9" width="8.88671875" style="9"/>
    <col min="10" max="10" width="5.33203125" style="9" customWidth="1"/>
    <col min="11" max="11" width="5.109375" style="9" customWidth="1"/>
    <col min="12" max="12" width="10.88671875" style="9" customWidth="1"/>
    <col min="13" max="13" width="8.88671875" style="9"/>
    <col min="14" max="15" width="5.21875" style="9" customWidth="1"/>
    <col min="16" max="17" width="8.88671875" style="9"/>
    <col min="18" max="18" width="5.109375" style="9" customWidth="1"/>
    <col min="19" max="19" width="3.44140625" style="9" customWidth="1"/>
    <col min="20" max="20" width="8.88671875" style="9"/>
    <col min="21" max="23" width="8.88671875" style="9" customWidth="1"/>
  </cols>
  <sheetData>
    <row r="1" spans="1:23" ht="15.6" x14ac:dyDescent="0.3">
      <c r="A1" s="79"/>
      <c r="B1" s="80"/>
      <c r="C1" s="96" t="s">
        <v>14</v>
      </c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80"/>
    </row>
    <row r="2" spans="1:23" ht="16.2" thickBot="1" x14ac:dyDescent="0.35">
      <c r="A2" s="92"/>
      <c r="B2" s="93"/>
      <c r="C2" s="95" t="s">
        <v>48</v>
      </c>
      <c r="D2" s="95"/>
      <c r="E2" s="95"/>
      <c r="F2" s="95"/>
      <c r="G2" s="95"/>
      <c r="H2" s="95"/>
      <c r="I2" s="95"/>
      <c r="J2" s="95"/>
      <c r="K2" s="95" t="s">
        <v>20</v>
      </c>
      <c r="L2" s="95"/>
      <c r="M2" s="95"/>
      <c r="N2" s="95"/>
      <c r="O2" s="95"/>
      <c r="P2" s="95"/>
      <c r="Q2" s="95"/>
      <c r="R2" s="95"/>
      <c r="S2" s="93"/>
      <c r="T2" s="112"/>
      <c r="U2" s="112"/>
      <c r="V2" s="112"/>
      <c r="W2" s="112"/>
    </row>
    <row r="3" spans="1:23" ht="15.6" x14ac:dyDescent="0.3">
      <c r="A3" s="81"/>
      <c r="B3" s="82"/>
      <c r="C3" s="99" t="s">
        <v>62</v>
      </c>
      <c r="D3" s="99"/>
      <c r="E3" s="99"/>
      <c r="F3" s="99"/>
      <c r="G3" s="99" t="s">
        <v>63</v>
      </c>
      <c r="H3" s="99"/>
      <c r="I3" s="99"/>
      <c r="J3" s="99"/>
      <c r="K3" s="99" t="s">
        <v>62</v>
      </c>
      <c r="L3" s="99"/>
      <c r="M3" s="99"/>
      <c r="N3" s="99"/>
      <c r="O3" s="99" t="s">
        <v>63</v>
      </c>
      <c r="P3" s="99"/>
      <c r="Q3" s="99"/>
      <c r="R3" s="99"/>
      <c r="S3" s="82"/>
      <c r="T3" s="99"/>
      <c r="U3" s="99"/>
      <c r="V3" s="99"/>
      <c r="W3" s="99"/>
    </row>
    <row r="4" spans="1:23" ht="15.6" x14ac:dyDescent="0.3">
      <c r="A4" s="83"/>
      <c r="B4" s="84" t="s">
        <v>15</v>
      </c>
      <c r="C4" s="97">
        <v>0.2</v>
      </c>
      <c r="D4" s="97"/>
      <c r="E4" s="97"/>
      <c r="F4" s="97"/>
      <c r="G4" s="98">
        <v>1</v>
      </c>
      <c r="H4" s="98"/>
      <c r="I4" s="98"/>
      <c r="J4" s="98"/>
      <c r="K4" s="97">
        <v>0</v>
      </c>
      <c r="L4" s="97"/>
      <c r="M4" s="97"/>
      <c r="N4" s="97"/>
      <c r="O4" s="98">
        <v>0</v>
      </c>
      <c r="P4" s="98"/>
      <c r="Q4" s="98"/>
      <c r="R4" s="98"/>
      <c r="S4" s="85"/>
      <c r="T4" s="111"/>
      <c r="U4" s="111"/>
      <c r="V4" s="111"/>
      <c r="W4" s="111"/>
    </row>
    <row r="5" spans="1:23" ht="15.6" x14ac:dyDescent="0.3">
      <c r="A5" s="86"/>
      <c r="B5" s="87" t="s">
        <v>13</v>
      </c>
      <c r="C5" s="102">
        <v>0.1</v>
      </c>
      <c r="D5" s="102"/>
      <c r="E5" s="102"/>
      <c r="F5" s="102"/>
      <c r="G5" s="103">
        <v>1</v>
      </c>
      <c r="H5" s="103"/>
      <c r="I5" s="103"/>
      <c r="J5" s="103"/>
      <c r="K5" s="102">
        <v>0</v>
      </c>
      <c r="L5" s="102"/>
      <c r="M5" s="102"/>
      <c r="N5" s="102"/>
      <c r="O5" s="103">
        <v>0</v>
      </c>
      <c r="P5" s="103"/>
      <c r="Q5" s="103"/>
      <c r="R5" s="103"/>
      <c r="S5" s="88"/>
      <c r="T5" s="111"/>
      <c r="U5" s="111"/>
      <c r="V5" s="111"/>
      <c r="W5" s="111"/>
    </row>
    <row r="6" spans="1:23" ht="16.2" thickBot="1" x14ac:dyDescent="0.35">
      <c r="A6" s="89"/>
      <c r="B6" s="90" t="s">
        <v>16</v>
      </c>
      <c r="C6" s="100">
        <v>0.03</v>
      </c>
      <c r="D6" s="100"/>
      <c r="E6" s="100"/>
      <c r="F6" s="100"/>
      <c r="G6" s="101">
        <v>1</v>
      </c>
      <c r="H6" s="101"/>
      <c r="I6" s="101"/>
      <c r="J6" s="101"/>
      <c r="K6" s="100">
        <v>0</v>
      </c>
      <c r="L6" s="100"/>
      <c r="M6" s="100"/>
      <c r="N6" s="100"/>
      <c r="O6" s="101">
        <v>0</v>
      </c>
      <c r="P6" s="101"/>
      <c r="Q6" s="101"/>
      <c r="R6" s="101"/>
      <c r="S6" s="91"/>
      <c r="T6" s="111"/>
      <c r="U6" s="111"/>
      <c r="V6" s="111"/>
      <c r="W6" s="111"/>
    </row>
    <row r="7" spans="1:23" ht="15.6" x14ac:dyDescent="0.3">
      <c r="A7" s="110" t="s">
        <v>25</v>
      </c>
      <c r="B7" s="106"/>
      <c r="C7" s="106"/>
      <c r="D7" s="106"/>
      <c r="E7" s="106"/>
      <c r="F7" s="106"/>
      <c r="G7" s="96" t="s">
        <v>24</v>
      </c>
      <c r="H7" s="106"/>
      <c r="I7" s="106"/>
      <c r="J7" s="106"/>
      <c r="K7" s="106"/>
      <c r="L7" s="106"/>
      <c r="M7" s="109" t="s">
        <v>66</v>
      </c>
      <c r="N7" s="106"/>
      <c r="O7" s="106"/>
      <c r="P7" s="106"/>
      <c r="Q7" s="106"/>
      <c r="R7" s="106"/>
      <c r="S7" s="106"/>
    </row>
    <row r="8" spans="1:23" ht="15.6" x14ac:dyDescent="0.3">
      <c r="A8" s="104" t="s">
        <v>64</v>
      </c>
      <c r="B8" s="105"/>
      <c r="C8" s="105"/>
      <c r="D8" s="105"/>
      <c r="E8" s="105"/>
      <c r="F8" s="105"/>
      <c r="G8" s="107" t="s">
        <v>65</v>
      </c>
      <c r="H8" s="108"/>
      <c r="I8" s="108"/>
      <c r="J8" s="108"/>
      <c r="K8" s="108"/>
      <c r="L8" s="108"/>
      <c r="M8" s="107" t="s">
        <v>67</v>
      </c>
      <c r="N8" s="108"/>
      <c r="O8" s="108"/>
      <c r="P8" s="108"/>
      <c r="Q8" s="108"/>
      <c r="R8" s="108"/>
      <c r="S8" s="108"/>
    </row>
    <row r="9" spans="1:23" x14ac:dyDescent="0.3">
      <c r="A9" s="10"/>
    </row>
    <row r="10" spans="1:23" x14ac:dyDescent="0.3">
      <c r="A10" s="10"/>
    </row>
    <row r="11" spans="1:23" x14ac:dyDescent="0.3">
      <c r="A11" s="10"/>
    </row>
    <row r="12" spans="1:23" x14ac:dyDescent="0.3">
      <c r="A12" s="10"/>
    </row>
    <row r="13" spans="1:23" x14ac:dyDescent="0.3">
      <c r="A13" s="10"/>
    </row>
    <row r="14" spans="1:23" x14ac:dyDescent="0.3">
      <c r="A14" s="10"/>
    </row>
    <row r="15" spans="1:23" x14ac:dyDescent="0.3">
      <c r="A15" s="10"/>
    </row>
    <row r="16" spans="1:23" x14ac:dyDescent="0.3">
      <c r="A16" s="10"/>
    </row>
    <row r="17" spans="1:19" x14ac:dyDescent="0.3">
      <c r="A17" s="10"/>
    </row>
    <row r="18" spans="1:19" x14ac:dyDescent="0.3">
      <c r="A18" s="10"/>
    </row>
    <row r="19" spans="1:19" x14ac:dyDescent="0.3">
      <c r="A19" s="10"/>
    </row>
    <row r="20" spans="1:19" x14ac:dyDescent="0.3">
      <c r="A20" s="10"/>
    </row>
    <row r="21" spans="1:19" x14ac:dyDescent="0.3">
      <c r="A21" s="10"/>
    </row>
    <row r="22" spans="1:19" x14ac:dyDescent="0.3">
      <c r="A22" s="10"/>
    </row>
    <row r="23" spans="1:19" x14ac:dyDescent="0.3">
      <c r="A23" s="10"/>
    </row>
    <row r="24" spans="1:19" x14ac:dyDescent="0.3">
      <c r="A24" s="10"/>
    </row>
    <row r="25" spans="1:19" ht="25.8" customHeight="1" x14ac:dyDescent="0.3">
      <c r="A25" s="7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</row>
    <row r="26" spans="1:19" x14ac:dyDescent="0.3">
      <c r="A26" s="10"/>
    </row>
    <row r="27" spans="1:19" x14ac:dyDescent="0.3">
      <c r="A27" s="10"/>
    </row>
    <row r="28" spans="1:19" x14ac:dyDescent="0.3">
      <c r="A28" s="10"/>
    </row>
    <row r="29" spans="1:19" x14ac:dyDescent="0.3">
      <c r="A29" s="10"/>
    </row>
    <row r="30" spans="1:19" x14ac:dyDescent="0.3">
      <c r="A30" s="10"/>
    </row>
    <row r="31" spans="1:19" x14ac:dyDescent="0.3">
      <c r="A31" s="10"/>
    </row>
    <row r="32" spans="1:19" x14ac:dyDescent="0.3">
      <c r="A32" s="10"/>
    </row>
    <row r="33" spans="1:23" x14ac:dyDescent="0.3">
      <c r="A33" s="10"/>
    </row>
    <row r="34" spans="1:23" x14ac:dyDescent="0.3">
      <c r="A34" s="10"/>
    </row>
    <row r="35" spans="1:23" x14ac:dyDescent="0.3">
      <c r="A35" s="10"/>
    </row>
    <row r="36" spans="1:23" x14ac:dyDescent="0.3">
      <c r="A36" s="10"/>
    </row>
    <row r="37" spans="1:23" x14ac:dyDescent="0.3">
      <c r="A37" s="10"/>
    </row>
    <row r="38" spans="1:23" s="8" customFormat="1" ht="25.8" x14ac:dyDescent="0.5">
      <c r="A38" s="76"/>
      <c r="T38" s="94"/>
      <c r="U38" s="94"/>
      <c r="V38" s="94"/>
      <c r="W38" s="94"/>
    </row>
    <row r="39" spans="1:23" s="8" customFormat="1" ht="25.8" x14ac:dyDescent="0.5">
      <c r="A39" s="76"/>
      <c r="T39" s="94"/>
      <c r="U39" s="94"/>
      <c r="V39" s="94"/>
      <c r="W39" s="94"/>
    </row>
    <row r="40" spans="1:23" s="8" customFormat="1" ht="25.8" x14ac:dyDescent="0.5">
      <c r="A40" s="76"/>
      <c r="T40" s="94"/>
      <c r="U40" s="94"/>
      <c r="V40" s="94"/>
      <c r="W40" s="94"/>
    </row>
    <row r="41" spans="1:23" s="8" customFormat="1" ht="26.4" thickBot="1" x14ac:dyDescent="0.55000000000000004">
      <c r="A41" s="77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94"/>
      <c r="U41" s="94"/>
      <c r="V41" s="94"/>
      <c r="W41" s="94"/>
    </row>
    <row r="42" spans="1:23" ht="25.5" customHeight="1" x14ac:dyDescent="0.3"/>
  </sheetData>
  <mergeCells count="30">
    <mergeCell ref="T3:W3"/>
    <mergeCell ref="T4:W4"/>
    <mergeCell ref="T5:W5"/>
    <mergeCell ref="T6:W6"/>
    <mergeCell ref="T2:W2"/>
    <mergeCell ref="A8:F8"/>
    <mergeCell ref="G7:L7"/>
    <mergeCell ref="G8:L8"/>
    <mergeCell ref="M7:S7"/>
    <mergeCell ref="M8:S8"/>
    <mergeCell ref="A7:F7"/>
    <mergeCell ref="C6:F6"/>
    <mergeCell ref="G6:J6"/>
    <mergeCell ref="K6:N6"/>
    <mergeCell ref="O6:R6"/>
    <mergeCell ref="C5:F5"/>
    <mergeCell ref="G5:J5"/>
    <mergeCell ref="K5:N5"/>
    <mergeCell ref="O5:R5"/>
    <mergeCell ref="K2:R2"/>
    <mergeCell ref="C2:J2"/>
    <mergeCell ref="C1:R1"/>
    <mergeCell ref="C4:F4"/>
    <mergeCell ref="G4:J4"/>
    <mergeCell ref="K4:N4"/>
    <mergeCell ref="O4:R4"/>
    <mergeCell ref="K3:N3"/>
    <mergeCell ref="C3:F3"/>
    <mergeCell ref="G3:J3"/>
    <mergeCell ref="O3:R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3FD38-55E6-48D0-8E18-0D565C4C6246}">
  <sheetPr codeName="Sheet2">
    <tabColor theme="6" tint="0.59999389629810485"/>
  </sheetPr>
  <dimension ref="A2:FE94"/>
  <sheetViews>
    <sheetView topLeftCell="L57" zoomScale="66" workbookViewId="0">
      <selection activeCell="AJ78" sqref="AJ78"/>
    </sheetView>
  </sheetViews>
  <sheetFormatPr defaultRowHeight="14.4" x14ac:dyDescent="0.3"/>
  <cols>
    <col min="1" max="1" width="21.6640625" bestFit="1" customWidth="1"/>
    <col min="2" max="5" width="8.88671875" bestFit="1" customWidth="1"/>
    <col min="6" max="7" width="9.109375" bestFit="1" customWidth="1"/>
    <col min="8" max="8" width="12.77734375" bestFit="1" customWidth="1"/>
    <col min="9" max="13" width="12.77734375" customWidth="1"/>
    <col min="17" max="17" width="11.6640625" bestFit="1" customWidth="1"/>
    <col min="51" max="55" width="9.77734375" bestFit="1" customWidth="1"/>
    <col min="56" max="56" width="10.77734375" bestFit="1" customWidth="1"/>
    <col min="57" max="57" width="10.109375" bestFit="1" customWidth="1"/>
    <col min="58" max="62" width="10.109375" customWidth="1"/>
    <col min="64" max="64" width="11.21875" bestFit="1" customWidth="1"/>
    <col min="67" max="67" width="12" bestFit="1" customWidth="1"/>
    <col min="68" max="69" width="12" customWidth="1"/>
    <col min="70" max="71" width="11.88671875" bestFit="1" customWidth="1"/>
    <col min="72" max="73" width="9.6640625" bestFit="1" customWidth="1"/>
    <col min="76" max="76" width="9.6640625" bestFit="1" customWidth="1"/>
    <col min="77" max="77" width="9.6640625" customWidth="1"/>
  </cols>
  <sheetData>
    <row r="2" spans="1:102" ht="15" thickBot="1" x14ac:dyDescent="0.35">
      <c r="A2" s="3"/>
      <c r="B2" s="3" t="s">
        <v>1</v>
      </c>
      <c r="C2" s="3" t="s">
        <v>10</v>
      </c>
      <c r="D2" s="3" t="s">
        <v>0</v>
      </c>
      <c r="F2" s="26" t="s">
        <v>26</v>
      </c>
      <c r="G2" s="25"/>
      <c r="H2" s="25"/>
      <c r="I2" s="25"/>
      <c r="J2" s="25"/>
      <c r="K2" s="25"/>
      <c r="L2" s="25"/>
      <c r="M2" s="25"/>
      <c r="O2" s="32"/>
      <c r="P2" s="32" t="s">
        <v>17</v>
      </c>
      <c r="Q2" s="32"/>
      <c r="R2" s="32"/>
      <c r="S2" s="32" t="s">
        <v>21</v>
      </c>
      <c r="T2" s="32"/>
      <c r="U2" s="32"/>
      <c r="V2" s="32" t="s">
        <v>27</v>
      </c>
      <c r="W2" s="32"/>
      <c r="X2" s="32"/>
    </row>
    <row r="3" spans="1:102" x14ac:dyDescent="0.3">
      <c r="A3" s="3" t="s">
        <v>6</v>
      </c>
      <c r="B3" s="4">
        <f>MAX(MIN(F3,100),0)</f>
        <v>0.2</v>
      </c>
      <c r="C3" s="4">
        <f>MAX(MIN(G3,100),0)</f>
        <v>0.1</v>
      </c>
      <c r="D3" s="4">
        <f>MAX(MIN(H3,1),0)</f>
        <v>0.03</v>
      </c>
      <c r="F3" s="69">
        <f>Results!C4</f>
        <v>0.2</v>
      </c>
      <c r="G3" s="70">
        <f>Results!C5</f>
        <v>0.1</v>
      </c>
      <c r="H3" s="71">
        <f>Results!C6</f>
        <v>0.03</v>
      </c>
      <c r="I3" s="25"/>
      <c r="J3" s="25"/>
      <c r="K3" s="25"/>
      <c r="L3" s="25"/>
      <c r="M3" s="25"/>
      <c r="O3" s="32"/>
      <c r="P3" s="32" t="s">
        <v>1</v>
      </c>
      <c r="Q3" s="32" t="s">
        <v>18</v>
      </c>
      <c r="R3" s="32" t="s">
        <v>19</v>
      </c>
      <c r="S3" s="32" t="s">
        <v>1</v>
      </c>
      <c r="T3" s="32" t="s">
        <v>18</v>
      </c>
      <c r="U3" s="32" t="s">
        <v>19</v>
      </c>
      <c r="V3" s="32" t="s">
        <v>1</v>
      </c>
      <c r="W3" s="32" t="s">
        <v>18</v>
      </c>
      <c r="X3" s="32" t="s">
        <v>19</v>
      </c>
    </row>
    <row r="4" spans="1:102" x14ac:dyDescent="0.3">
      <c r="A4" s="3" t="s">
        <v>5</v>
      </c>
      <c r="B4" s="5">
        <f>Results!G4</f>
        <v>1</v>
      </c>
      <c r="C4" s="5">
        <f>Results!G5</f>
        <v>1</v>
      </c>
      <c r="D4" s="5">
        <f>Results!G6</f>
        <v>1</v>
      </c>
      <c r="F4" s="27">
        <f>MAX(MIN(ROUND(B4,0),11),0)</f>
        <v>1</v>
      </c>
      <c r="G4" s="28">
        <f>MAX(MIN(ROUND(C4,0),11),0)</f>
        <v>1</v>
      </c>
      <c r="H4" s="29">
        <f>MAX(MIN(ROUND(D4,0),11),0)</f>
        <v>1</v>
      </c>
      <c r="I4" s="28"/>
      <c r="J4" s="28"/>
      <c r="K4" s="28"/>
      <c r="L4" s="28"/>
      <c r="M4" s="28"/>
      <c r="O4" s="33">
        <v>2020</v>
      </c>
      <c r="P4" s="34">
        <f>IF(F$4&gt;0,1,0)</f>
        <v>1</v>
      </c>
      <c r="Q4" s="34">
        <f>IF(G$4&gt;0,1,0)</f>
        <v>1</v>
      </c>
      <c r="R4" s="34">
        <f>IF(H$4&gt;0,1,0)</f>
        <v>1</v>
      </c>
      <c r="S4" s="32">
        <f t="shared" ref="S4:S14" si="0">IF(P4=0,1,0)</f>
        <v>0</v>
      </c>
      <c r="T4" s="32">
        <f t="shared" ref="T4:T14" si="1">IF(Q4&gt;0.01,1,0)</f>
        <v>1</v>
      </c>
      <c r="U4" s="32">
        <f t="shared" ref="U4:U14" si="2">IF(R4&gt;0.01,1,0)</f>
        <v>1</v>
      </c>
      <c r="V4" s="34">
        <f>IF(F$4+F$6&gt;0,0,1)</f>
        <v>0</v>
      </c>
      <c r="W4" s="34">
        <f>IF(G$4+G$6&gt;0,0,1)</f>
        <v>0</v>
      </c>
      <c r="X4" s="34">
        <f>IF(H$4+H$6&gt;0,0,1)</f>
        <v>0</v>
      </c>
    </row>
    <row r="5" spans="1:102" x14ac:dyDescent="0.3">
      <c r="A5" s="3" t="s">
        <v>7</v>
      </c>
      <c r="B5" s="4">
        <f>MAX(MIN(F7,1),0)</f>
        <v>0</v>
      </c>
      <c r="C5" s="4">
        <f>MAX(MIN(G7,1),0)</f>
        <v>0</v>
      </c>
      <c r="D5" s="4">
        <f>MAX(MIN(H7,1),0)</f>
        <v>0</v>
      </c>
      <c r="F5" s="30">
        <f>B5*IF(B6&gt;0,1,0)</f>
        <v>0</v>
      </c>
      <c r="G5" s="25">
        <f>C5*IF(C6&gt;0,1,0)</f>
        <v>0</v>
      </c>
      <c r="H5" s="31">
        <f>D5*IF(D6&gt;0,1,0)</f>
        <v>0</v>
      </c>
      <c r="I5" s="25"/>
      <c r="J5" s="25"/>
      <c r="K5" s="25"/>
      <c r="L5" s="25"/>
      <c r="M5" s="25"/>
      <c r="O5" s="32">
        <v>2021</v>
      </c>
      <c r="P5" s="34">
        <f>IF(F$4&gt;1,1,0)</f>
        <v>0</v>
      </c>
      <c r="Q5" s="34">
        <f>IF(G$4&gt;1,1,0)</f>
        <v>0</v>
      </c>
      <c r="R5" s="34">
        <f>IF(H$4&gt;1,1,0)</f>
        <v>0</v>
      </c>
      <c r="S5" s="32">
        <f t="shared" si="0"/>
        <v>1</v>
      </c>
      <c r="T5" s="32">
        <f t="shared" si="1"/>
        <v>0</v>
      </c>
      <c r="U5" s="32">
        <f t="shared" si="2"/>
        <v>0</v>
      </c>
      <c r="V5" s="34">
        <f>IF(F$4+F$6&gt;1,0,1)</f>
        <v>1</v>
      </c>
      <c r="W5" s="34">
        <f>IF(G$4+G$6&gt;1,0,1)</f>
        <v>1</v>
      </c>
      <c r="X5" s="34">
        <f>IF(H$4+H$6&gt;1,0,1)</f>
        <v>1</v>
      </c>
    </row>
    <row r="6" spans="1:102" x14ac:dyDescent="0.3">
      <c r="A6" s="3" t="s">
        <v>8</v>
      </c>
      <c r="B6" s="5">
        <f>Results!O4</f>
        <v>0</v>
      </c>
      <c r="C6" s="5">
        <f>Results!O5</f>
        <v>0</v>
      </c>
      <c r="D6" s="5">
        <f>Results!O6</f>
        <v>0</v>
      </c>
      <c r="F6" s="27">
        <f>MAX(MIN(ROUND(B6,0)+0,11),0)</f>
        <v>0</v>
      </c>
      <c r="G6" s="28">
        <f>MAX(MIN(ROUND(C6,0)+0,11),0)</f>
        <v>0</v>
      </c>
      <c r="H6" s="29">
        <f>MAX(MIN(ROUND(D6,0)+0,11),0)</f>
        <v>0</v>
      </c>
      <c r="I6" s="28"/>
      <c r="J6" s="28"/>
      <c r="K6" s="28"/>
      <c r="L6" s="28"/>
      <c r="M6" s="28"/>
      <c r="O6" s="32">
        <v>2022</v>
      </c>
      <c r="P6" s="34">
        <f>IF(F$4&gt;2,1,0)</f>
        <v>0</v>
      </c>
      <c r="Q6" s="34">
        <f>IF(G$4&gt;2,1,0)</f>
        <v>0</v>
      </c>
      <c r="R6" s="34">
        <f>IF(H$4&gt;2,1,0)</f>
        <v>0</v>
      </c>
      <c r="S6" s="32">
        <f t="shared" si="0"/>
        <v>1</v>
      </c>
      <c r="T6" s="32">
        <f t="shared" si="1"/>
        <v>0</v>
      </c>
      <c r="U6" s="32">
        <f t="shared" si="2"/>
        <v>0</v>
      </c>
      <c r="V6" s="34">
        <f>IF(F$4+F$6&gt;2,0,1)</f>
        <v>1</v>
      </c>
      <c r="W6" s="34">
        <f>IF(G$4+G$6&gt;2,0,1)</f>
        <v>1</v>
      </c>
      <c r="X6" s="34">
        <f>IF(H$4+H$6&gt;2,0,1)</f>
        <v>1</v>
      </c>
    </row>
    <row r="7" spans="1:102" ht="15" thickBot="1" x14ac:dyDescent="0.35">
      <c r="F7" s="72">
        <f>Results!K4</f>
        <v>0</v>
      </c>
      <c r="G7" s="73">
        <f>Results!K5</f>
        <v>0</v>
      </c>
      <c r="H7" s="74">
        <f>Results!K6</f>
        <v>0</v>
      </c>
      <c r="I7" s="25"/>
      <c r="J7" s="25"/>
      <c r="K7" s="25"/>
      <c r="L7" s="25"/>
      <c r="M7" s="25"/>
      <c r="O7" s="32">
        <v>2023</v>
      </c>
      <c r="P7" s="34">
        <f>IF(F$4&gt;3,1,0)</f>
        <v>0</v>
      </c>
      <c r="Q7" s="34">
        <f>IF(G$4&gt;3,1,0)</f>
        <v>0</v>
      </c>
      <c r="R7" s="34">
        <f>IF(H$4&gt;3,1,0)</f>
        <v>0</v>
      </c>
      <c r="S7" s="32">
        <f t="shared" si="0"/>
        <v>1</v>
      </c>
      <c r="T7" s="32">
        <f t="shared" si="1"/>
        <v>0</v>
      </c>
      <c r="U7" s="32">
        <f t="shared" si="2"/>
        <v>0</v>
      </c>
      <c r="V7" s="34">
        <f>IF(F$4+F$6&gt;3,0,1)</f>
        <v>1</v>
      </c>
      <c r="W7" s="34">
        <f>IF(G$4+G$6&gt;3,0,1)</f>
        <v>1</v>
      </c>
      <c r="X7" s="34">
        <f>IF(H$4+H$6&gt;3,0,1)</f>
        <v>1</v>
      </c>
    </row>
    <row r="8" spans="1:102" x14ac:dyDescent="0.3">
      <c r="O8" s="32">
        <v>2024</v>
      </c>
      <c r="P8" s="34">
        <f>IF(F$4&gt;4,1,0)</f>
        <v>0</v>
      </c>
      <c r="Q8" s="34">
        <f>IF(G$4&gt;4,1,0)</f>
        <v>0</v>
      </c>
      <c r="R8" s="34">
        <f>IF(H$4&gt;4,1,0)</f>
        <v>0</v>
      </c>
      <c r="S8" s="32">
        <f t="shared" si="0"/>
        <v>1</v>
      </c>
      <c r="T8" s="32">
        <f t="shared" si="1"/>
        <v>0</v>
      </c>
      <c r="U8" s="32">
        <f t="shared" si="2"/>
        <v>0</v>
      </c>
      <c r="V8" s="34">
        <f>IF(F$4+F$6&gt;4,0,1)</f>
        <v>1</v>
      </c>
      <c r="W8" s="34">
        <f>IF(G$4+G$6&gt;4,0,1)</f>
        <v>1</v>
      </c>
      <c r="X8" s="34">
        <f>IF(H$4+H$6&gt;4,0,1)</f>
        <v>1</v>
      </c>
    </row>
    <row r="9" spans="1:102" ht="15" thickBot="1" x14ac:dyDescent="0.35">
      <c r="O9" s="32">
        <v>2025</v>
      </c>
      <c r="P9" s="34">
        <f>IF(F$4&gt;5,1,0)</f>
        <v>0</v>
      </c>
      <c r="Q9" s="34">
        <f>IF(G$4&gt;5,1,0)</f>
        <v>0</v>
      </c>
      <c r="R9" s="34">
        <f>IF(H$4&gt;5,1,0)</f>
        <v>0</v>
      </c>
      <c r="S9" s="32">
        <f t="shared" si="0"/>
        <v>1</v>
      </c>
      <c r="T9" s="32">
        <f t="shared" si="1"/>
        <v>0</v>
      </c>
      <c r="U9" s="32">
        <f t="shared" si="2"/>
        <v>0</v>
      </c>
      <c r="V9" s="34">
        <f>IF(F$4+F$6&gt;5,0,1)</f>
        <v>1</v>
      </c>
      <c r="W9" s="34">
        <f>IF(G$4+G$6&gt;5,0,1)</f>
        <v>1</v>
      </c>
      <c r="X9" s="34">
        <f>IF(H$4+H$6&gt;5,0,1)</f>
        <v>1</v>
      </c>
    </row>
    <row r="10" spans="1:102" x14ac:dyDescent="0.3">
      <c r="A10" s="53" t="s">
        <v>37</v>
      </c>
      <c r="B10" s="54" t="s">
        <v>36</v>
      </c>
      <c r="C10" s="54"/>
      <c r="D10" s="54"/>
      <c r="E10" s="54"/>
      <c r="F10" s="54"/>
      <c r="G10" s="55"/>
      <c r="O10" s="32">
        <v>2026</v>
      </c>
      <c r="P10" s="34">
        <f>IF(F$4&gt;6,1,0)</f>
        <v>0</v>
      </c>
      <c r="Q10" s="34">
        <f>IF(G$4&gt;6,1,0)</f>
        <v>0</v>
      </c>
      <c r="R10" s="34">
        <f>IF(H$4&gt;6,1,0)</f>
        <v>0</v>
      </c>
      <c r="S10" s="32">
        <f t="shared" si="0"/>
        <v>1</v>
      </c>
      <c r="T10" s="32">
        <f t="shared" si="1"/>
        <v>0</v>
      </c>
      <c r="U10" s="32">
        <f t="shared" si="2"/>
        <v>0</v>
      </c>
      <c r="V10" s="34">
        <f>IF(F$4+F$6&gt;6,0,1)</f>
        <v>1</v>
      </c>
      <c r="W10" s="34">
        <f>IF(G$4+G$6&gt;6,0,1)</f>
        <v>1</v>
      </c>
      <c r="X10" s="34">
        <f>IF(H$4+H$6&gt;6,0,1)</f>
        <v>1</v>
      </c>
    </row>
    <row r="11" spans="1:102" x14ac:dyDescent="0.3">
      <c r="A11" s="45" t="s">
        <v>11</v>
      </c>
      <c r="B11" s="46">
        <f>SUM(BS63:BS74)</f>
        <v>-10.570070389089285</v>
      </c>
      <c r="C11" s="47"/>
      <c r="D11" s="47"/>
      <c r="E11" s="47"/>
      <c r="F11" s="47"/>
      <c r="G11" s="48"/>
      <c r="O11" s="32">
        <v>2027</v>
      </c>
      <c r="P11" s="34">
        <f>IF(F$4&gt;7,1,0)</f>
        <v>0</v>
      </c>
      <c r="Q11" s="34">
        <f>IF(G$4&gt;7,1,0)</f>
        <v>0</v>
      </c>
      <c r="R11" s="34">
        <f>IF(H$4&gt;7,1,0)</f>
        <v>0</v>
      </c>
      <c r="S11" s="32">
        <f t="shared" si="0"/>
        <v>1</v>
      </c>
      <c r="T11" s="32">
        <f t="shared" si="1"/>
        <v>0</v>
      </c>
      <c r="U11" s="32">
        <f t="shared" si="2"/>
        <v>0</v>
      </c>
      <c r="V11" s="34">
        <f>IF(F$4+F$6&gt;7,0,1)</f>
        <v>1</v>
      </c>
      <c r="W11" s="34">
        <f>IF(G$4+G$6&gt;7,0,1)</f>
        <v>1</v>
      </c>
      <c r="X11" s="34">
        <f>IF(H$4+H$6&gt;7,0,1)</f>
        <v>1</v>
      </c>
      <c r="AN11" s="1"/>
    </row>
    <row r="12" spans="1:102" x14ac:dyDescent="0.3">
      <c r="A12" s="45" t="s">
        <v>1</v>
      </c>
      <c r="B12" s="46">
        <f>B11-SUM(BT63:BT74)</f>
        <v>-4.5592265874176316</v>
      </c>
      <c r="C12" s="47"/>
      <c r="D12" s="47"/>
      <c r="E12" s="47"/>
      <c r="F12" s="47"/>
      <c r="G12" s="48"/>
      <c r="O12" s="32">
        <v>2028</v>
      </c>
      <c r="P12" s="34">
        <f>IF(F$4&gt;8,1,0)</f>
        <v>0</v>
      </c>
      <c r="Q12" s="34">
        <f>IF(G$4&gt;8,1,0)</f>
        <v>0</v>
      </c>
      <c r="R12" s="34">
        <f>IF(H$4&gt;8,1,0)</f>
        <v>0</v>
      </c>
      <c r="S12" s="32">
        <f t="shared" si="0"/>
        <v>1</v>
      </c>
      <c r="T12" s="32">
        <f t="shared" si="1"/>
        <v>0</v>
      </c>
      <c r="U12" s="32">
        <f t="shared" si="2"/>
        <v>0</v>
      </c>
      <c r="V12" s="34">
        <f>IF(F$4+F$6&gt;8,0,1)</f>
        <v>1</v>
      </c>
      <c r="W12" s="34">
        <f>IF(G$4+G$6&gt;8,0,1)</f>
        <v>1</v>
      </c>
      <c r="X12" s="34">
        <f>IF(H$4+H$6&gt;8,0,1)</f>
        <v>1</v>
      </c>
      <c r="AN12" s="1"/>
    </row>
    <row r="13" spans="1:102" x14ac:dyDescent="0.3">
      <c r="A13" s="45" t="s">
        <v>10</v>
      </c>
      <c r="B13" s="46">
        <f>B11-SUM(BU63:BU74)</f>
        <v>-2.0263229277411661</v>
      </c>
      <c r="C13" s="47"/>
      <c r="D13" s="47"/>
      <c r="E13" s="47"/>
      <c r="F13" s="47"/>
      <c r="G13" s="48"/>
      <c r="O13" s="32">
        <v>2029</v>
      </c>
      <c r="P13" s="34">
        <f>IF(F$4&gt;9,1,0)</f>
        <v>0</v>
      </c>
      <c r="Q13" s="34">
        <f>IF(G$4&gt;9,1,0)</f>
        <v>0</v>
      </c>
      <c r="R13" s="34">
        <f>IF(H$4&gt;9,1,0)</f>
        <v>0</v>
      </c>
      <c r="S13" s="32">
        <f t="shared" si="0"/>
        <v>1</v>
      </c>
      <c r="T13" s="32">
        <f t="shared" si="1"/>
        <v>0</v>
      </c>
      <c r="U13" s="32">
        <f t="shared" si="2"/>
        <v>0</v>
      </c>
      <c r="V13" s="34">
        <f>IF(F$4+F$6&gt;9,0,1)</f>
        <v>1</v>
      </c>
      <c r="W13" s="34">
        <f>IF(G$4+G$6&gt;9,0,1)</f>
        <v>1</v>
      </c>
      <c r="X13" s="34">
        <f>IF(H$4+H$6&gt;9,0,1)</f>
        <v>1</v>
      </c>
    </row>
    <row r="14" spans="1:102" ht="15" thickBot="1" x14ac:dyDescent="0.35">
      <c r="A14" s="49" t="s">
        <v>19</v>
      </c>
      <c r="B14" s="50">
        <f>B11-SUM(BV63:BV74)</f>
        <v>-3.4779401419951919</v>
      </c>
      <c r="C14" s="51"/>
      <c r="D14" s="51"/>
      <c r="E14" s="51"/>
      <c r="F14" s="51"/>
      <c r="G14" s="52"/>
      <c r="O14" s="32">
        <v>2030</v>
      </c>
      <c r="P14" s="34">
        <f>IF(F$4&gt;10,1,0)</f>
        <v>0</v>
      </c>
      <c r="Q14" s="34">
        <f>IF(G$4&gt;10,1,0)</f>
        <v>0</v>
      </c>
      <c r="R14" s="34">
        <f>IF(H$4&gt;10,1,0)</f>
        <v>0</v>
      </c>
      <c r="S14" s="32">
        <f t="shared" si="0"/>
        <v>1</v>
      </c>
      <c r="T14" s="32">
        <f t="shared" si="1"/>
        <v>0</v>
      </c>
      <c r="U14" s="32">
        <f t="shared" si="2"/>
        <v>0</v>
      </c>
      <c r="V14" s="34">
        <f>IF(F$4+F$6&gt;10,0,1)</f>
        <v>1</v>
      </c>
      <c r="W14" s="34">
        <f>IF(G$4+G$6&gt;10,0,1)</f>
        <v>1</v>
      </c>
      <c r="X14" s="34">
        <f>IF(H$4+H$6&gt;10,0,1)</f>
        <v>1</v>
      </c>
      <c r="BC14" s="2"/>
      <c r="BK14" s="7"/>
      <c r="BX14" s="43" t="s">
        <v>41</v>
      </c>
    </row>
    <row r="15" spans="1:102" x14ac:dyDescent="0.3"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BK15" s="7"/>
      <c r="BX15" s="43" t="s">
        <v>42</v>
      </c>
      <c r="CK15" s="43" t="s">
        <v>43</v>
      </c>
      <c r="CX15" s="43" t="s">
        <v>44</v>
      </c>
    </row>
    <row r="16" spans="1:102" x14ac:dyDescent="0.3">
      <c r="Q16" s="1"/>
    </row>
    <row r="17" spans="1:161" x14ac:dyDescent="0.3">
      <c r="A17" s="14" t="s">
        <v>25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5"/>
      <c r="O17" s="15"/>
      <c r="P17" s="15"/>
      <c r="R17" s="20" t="s">
        <v>0</v>
      </c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H17" s="12" t="s">
        <v>24</v>
      </c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Y17" s="35" t="s">
        <v>31</v>
      </c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X17" s="14" t="s">
        <v>25</v>
      </c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K17" s="20" t="s">
        <v>25</v>
      </c>
      <c r="CL17" s="24"/>
      <c r="CM17" s="24"/>
      <c r="CN17" s="24"/>
      <c r="CO17" s="24"/>
      <c r="CP17" s="24"/>
      <c r="CQ17" s="24"/>
      <c r="CR17" s="5"/>
      <c r="CS17" s="5"/>
      <c r="CT17" s="5"/>
      <c r="CU17" s="5"/>
      <c r="CV17" s="5"/>
      <c r="CX17" s="12" t="s">
        <v>24</v>
      </c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K17" s="14" t="s">
        <v>45</v>
      </c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EA17" s="20" t="s">
        <v>45</v>
      </c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Q17" s="12" t="s">
        <v>46</v>
      </c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</row>
    <row r="18" spans="1:161" x14ac:dyDescent="0.3">
      <c r="A18" s="15" t="s">
        <v>51</v>
      </c>
      <c r="B18" s="16">
        <f>AVERAGE(B21:B60)</f>
        <v>479.40725000000003</v>
      </c>
      <c r="C18" s="16">
        <f t="shared" ref="C18:L18" si="3">AVERAGE(C21:C60)</f>
        <v>367.99689743589744</v>
      </c>
      <c r="D18" s="16">
        <f t="shared" si="3"/>
        <v>314.18944736842099</v>
      </c>
      <c r="E18" s="16">
        <f t="shared" si="3"/>
        <v>276.04562162162159</v>
      </c>
      <c r="F18" s="16">
        <f t="shared" si="3"/>
        <v>246.86702777777776</v>
      </c>
      <c r="G18" s="16">
        <f t="shared" si="3"/>
        <v>223.71811428571431</v>
      </c>
      <c r="H18" s="16">
        <f t="shared" si="3"/>
        <v>212.43485757693256</v>
      </c>
      <c r="I18" s="16">
        <f t="shared" si="3"/>
        <v>193.70679473334076</v>
      </c>
      <c r="J18" s="16">
        <f t="shared" si="3"/>
        <v>177.75490006864672</v>
      </c>
      <c r="K18" s="16">
        <f t="shared" si="3"/>
        <v>163.96111325009846</v>
      </c>
      <c r="L18" s="16">
        <f t="shared" si="3"/>
        <v>152.11510360175077</v>
      </c>
      <c r="M18" s="15"/>
      <c r="N18" s="15"/>
      <c r="O18" s="15"/>
      <c r="P18" s="15"/>
      <c r="R18" s="22" t="s">
        <v>51</v>
      </c>
      <c r="S18" s="23">
        <f t="shared" ref="S18:AC18" si="4">AVERAGE(S22:S60)</f>
        <v>0.78140529340651155</v>
      </c>
      <c r="T18" s="23">
        <f t="shared" si="4"/>
        <v>0.84201986597643674</v>
      </c>
      <c r="U18" s="23">
        <f t="shared" si="4"/>
        <v>0.86615358049561486</v>
      </c>
      <c r="V18" s="23">
        <f t="shared" si="4"/>
        <v>0.88364932114227812</v>
      </c>
      <c r="W18" s="23">
        <f t="shared" si="4"/>
        <v>0.89554007089515686</v>
      </c>
      <c r="X18" s="23">
        <f t="shared" si="4"/>
        <v>0.90384908371160144</v>
      </c>
      <c r="Y18" s="23">
        <f t="shared" si="4"/>
        <v>0.91214938010898494</v>
      </c>
      <c r="Z18" s="23">
        <f t="shared" si="4"/>
        <v>0.91921334653621301</v>
      </c>
      <c r="AA18" s="23">
        <f t="shared" si="4"/>
        <v>0.92537334076076772</v>
      </c>
      <c r="AB18" s="23">
        <f t="shared" si="4"/>
        <v>0.93107134918860956</v>
      </c>
      <c r="AC18" s="23">
        <f t="shared" si="4"/>
        <v>0.8738298206816032</v>
      </c>
      <c r="AD18" s="21"/>
      <c r="AE18" s="21"/>
      <c r="AF18" s="21"/>
      <c r="AH18" s="11" t="s">
        <v>51</v>
      </c>
      <c r="AI18" s="13">
        <f>AVERAGE(AI21:AI60)</f>
        <v>6.0464960686692457</v>
      </c>
      <c r="AJ18" s="13">
        <f t="shared" ref="AJ18:AT18" si="5">AVERAGE(AJ21:AJ60)</f>
        <v>7.7460848474990849</v>
      </c>
      <c r="AK18" s="13">
        <f t="shared" si="5"/>
        <v>8.4307627543747419</v>
      </c>
      <c r="AL18" s="13">
        <f t="shared" si="5"/>
        <v>9.1043505257283908</v>
      </c>
      <c r="AM18" s="13">
        <f t="shared" si="5"/>
        <v>9.757111883058819</v>
      </c>
      <c r="AN18" s="13">
        <f t="shared" si="5"/>
        <v>10.368419644842689</v>
      </c>
      <c r="AO18" s="13">
        <f t="shared" si="5"/>
        <v>10.767462535559279</v>
      </c>
      <c r="AP18" s="13">
        <f t="shared" si="5"/>
        <v>11.263184952539948</v>
      </c>
      <c r="AQ18" s="13">
        <f t="shared" si="5"/>
        <v>11.842457420682109</v>
      </c>
      <c r="AR18" s="13">
        <f t="shared" si="5"/>
        <v>12.429534337153493</v>
      </c>
      <c r="AS18" s="13">
        <f t="shared" si="5"/>
        <v>13.089331639734455</v>
      </c>
      <c r="AT18" s="13">
        <f t="shared" si="5"/>
        <v>8.1979309030803496</v>
      </c>
      <c r="AU18" s="11"/>
      <c r="AV18" s="11"/>
      <c r="AW18" s="11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X18" s="15" t="s">
        <v>51</v>
      </c>
      <c r="BY18" s="16">
        <f>AVERAGE(BY21:BY60)</f>
        <v>479.40725000000003</v>
      </c>
      <c r="BZ18" s="16">
        <f t="shared" ref="BZ18:CI18" si="6">AVERAGE(BZ21:BZ60)</f>
        <v>367.99689743589744</v>
      </c>
      <c r="CA18" s="16">
        <f t="shared" si="6"/>
        <v>314.18944736842099</v>
      </c>
      <c r="CB18" s="16">
        <f t="shared" si="6"/>
        <v>276.04562162162159</v>
      </c>
      <c r="CC18" s="16">
        <f t="shared" si="6"/>
        <v>246.86702777777776</v>
      </c>
      <c r="CD18" s="16">
        <f t="shared" si="6"/>
        <v>223.71811428571431</v>
      </c>
      <c r="CE18" s="16">
        <f t="shared" si="6"/>
        <v>212.43485757693256</v>
      </c>
      <c r="CF18" s="16">
        <f t="shared" si="6"/>
        <v>193.70679473334076</v>
      </c>
      <c r="CG18" s="16">
        <f t="shared" si="6"/>
        <v>177.75490006864672</v>
      </c>
      <c r="CH18" s="16">
        <f t="shared" si="6"/>
        <v>163.96111325009846</v>
      </c>
      <c r="CI18" s="16">
        <f t="shared" si="6"/>
        <v>152.11510360175077</v>
      </c>
      <c r="CK18" s="21" t="s">
        <v>51</v>
      </c>
      <c r="CL18" s="24">
        <f>AVERAGE(CL21:CL60)</f>
        <v>479.40725000000003</v>
      </c>
      <c r="CM18" s="24">
        <f t="shared" ref="CM18:CV18" si="7">AVERAGE(CM21:CM60)</f>
        <v>367.99689743589744</v>
      </c>
      <c r="CN18" s="24">
        <f t="shared" si="7"/>
        <v>314.18944736842099</v>
      </c>
      <c r="CO18" s="24">
        <f t="shared" si="7"/>
        <v>276.04562162162159</v>
      </c>
      <c r="CP18" s="24">
        <f t="shared" si="7"/>
        <v>246.86702777777776</v>
      </c>
      <c r="CQ18" s="24">
        <f t="shared" si="7"/>
        <v>223.71811428571431</v>
      </c>
      <c r="CR18" s="5">
        <f t="shared" si="7"/>
        <v>212.43485757693256</v>
      </c>
      <c r="CS18" s="5">
        <f t="shared" si="7"/>
        <v>193.70679473334076</v>
      </c>
      <c r="CT18" s="5">
        <f t="shared" si="7"/>
        <v>177.75490006864672</v>
      </c>
      <c r="CU18" s="5">
        <f t="shared" si="7"/>
        <v>163.96111325009846</v>
      </c>
      <c r="CV18" s="5">
        <f t="shared" si="7"/>
        <v>152.11510360175077</v>
      </c>
      <c r="CX18" s="11" t="s">
        <v>51</v>
      </c>
      <c r="CY18" s="13">
        <f>AVERAGE(CY21:CY60)</f>
        <v>6.0464960686692457</v>
      </c>
      <c r="CZ18" s="13">
        <f t="shared" ref="CZ18:DI18" si="8">AVERAGE(CZ21:CZ60)</f>
        <v>7.7460848474990849</v>
      </c>
      <c r="DA18" s="13">
        <f t="shared" si="8"/>
        <v>8.4307627543747419</v>
      </c>
      <c r="DB18" s="13">
        <f t="shared" si="8"/>
        <v>9.1043505257283908</v>
      </c>
      <c r="DC18" s="13">
        <f t="shared" si="8"/>
        <v>9.757111883058819</v>
      </c>
      <c r="DD18" s="13">
        <f t="shared" si="8"/>
        <v>10.368419644842689</v>
      </c>
      <c r="DE18" s="13">
        <f t="shared" si="8"/>
        <v>10.767462535559279</v>
      </c>
      <c r="DF18" s="13">
        <f t="shared" si="8"/>
        <v>11.263184952539948</v>
      </c>
      <c r="DG18" s="13">
        <f t="shared" si="8"/>
        <v>11.842457420682109</v>
      </c>
      <c r="DH18" s="13">
        <f t="shared" si="8"/>
        <v>12.429534337153493</v>
      </c>
      <c r="DI18" s="13">
        <f t="shared" si="8"/>
        <v>13.089331639734455</v>
      </c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</row>
    <row r="19" spans="1:161" x14ac:dyDescent="0.3">
      <c r="A19" s="15" t="s">
        <v>52</v>
      </c>
      <c r="B19" s="15">
        <f>(1-B3)*B18</f>
        <v>383.52580000000006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R19" s="21" t="s">
        <v>52</v>
      </c>
      <c r="S19" s="23">
        <f t="shared" ref="S19:AC19" si="9">(1-$D$3)*S18</f>
        <v>0.75796313460431619</v>
      </c>
      <c r="T19" s="23">
        <f t="shared" si="9"/>
        <v>0.81675926999714366</v>
      </c>
      <c r="U19" s="23">
        <f t="shared" si="9"/>
        <v>0.84016897308074634</v>
      </c>
      <c r="V19" s="23">
        <f t="shared" si="9"/>
        <v>0.8571398415080097</v>
      </c>
      <c r="W19" s="23">
        <f t="shared" si="9"/>
        <v>0.8686738687683021</v>
      </c>
      <c r="X19" s="60">
        <f t="shared" si="9"/>
        <v>0.87673361120025339</v>
      </c>
      <c r="Y19" s="60">
        <f t="shared" si="9"/>
        <v>0.88478489870571542</v>
      </c>
      <c r="Z19" s="60">
        <f t="shared" si="9"/>
        <v>0.89163694614012656</v>
      </c>
      <c r="AA19" s="60">
        <f t="shared" si="9"/>
        <v>0.89761214053794469</v>
      </c>
      <c r="AB19" s="60">
        <f t="shared" si="9"/>
        <v>0.90313920871295128</v>
      </c>
      <c r="AC19" s="60">
        <f t="shared" si="9"/>
        <v>0.84761492606115507</v>
      </c>
      <c r="AD19" s="21"/>
      <c r="AE19" s="21"/>
      <c r="AF19" s="21"/>
      <c r="AH19" s="11" t="s">
        <v>52</v>
      </c>
      <c r="AI19" s="13">
        <f t="shared" ref="AI19:AT19" si="10">(1-$C$3)*AI18</f>
        <v>5.4418464618023217</v>
      </c>
      <c r="AJ19" s="13">
        <f t="shared" si="10"/>
        <v>6.9714763627491765</v>
      </c>
      <c r="AK19" s="13">
        <f t="shared" si="10"/>
        <v>7.5876864789372682</v>
      </c>
      <c r="AL19" s="13">
        <f t="shared" si="10"/>
        <v>8.1939154731555526</v>
      </c>
      <c r="AM19" s="13">
        <f t="shared" si="10"/>
        <v>8.7814006947529375</v>
      </c>
      <c r="AN19" s="13">
        <f t="shared" si="10"/>
        <v>9.3315776803584196</v>
      </c>
      <c r="AO19" s="13">
        <f t="shared" si="10"/>
        <v>9.6907162820033506</v>
      </c>
      <c r="AP19" s="13">
        <f t="shared" si="10"/>
        <v>10.136866457285954</v>
      </c>
      <c r="AQ19" s="13">
        <f t="shared" si="10"/>
        <v>10.658211678613899</v>
      </c>
      <c r="AR19" s="13">
        <f t="shared" si="10"/>
        <v>11.186580903438143</v>
      </c>
      <c r="AS19" s="13">
        <f t="shared" si="10"/>
        <v>11.780398475761009</v>
      </c>
      <c r="AT19" s="13">
        <f t="shared" si="10"/>
        <v>7.378137812772315</v>
      </c>
      <c r="AU19" s="11"/>
      <c r="AV19" s="11"/>
      <c r="AW19" s="11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K19" s="21"/>
      <c r="CL19" s="21"/>
      <c r="CM19" s="21"/>
      <c r="CN19" s="21"/>
      <c r="CO19" s="21"/>
      <c r="CP19" s="21"/>
      <c r="CQ19" s="21"/>
      <c r="CR19" s="3"/>
      <c r="CS19" s="3"/>
      <c r="CT19" s="3"/>
      <c r="CU19" s="3"/>
      <c r="CV19" s="3"/>
      <c r="CX19" s="11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</row>
    <row r="20" spans="1:161" x14ac:dyDescent="0.3">
      <c r="A20" s="15" t="s">
        <v>49</v>
      </c>
      <c r="B20" s="57">
        <v>0</v>
      </c>
      <c r="C20" s="57">
        <v>1</v>
      </c>
      <c r="D20" s="57">
        <v>2</v>
      </c>
      <c r="E20" s="57">
        <v>3</v>
      </c>
      <c r="F20" s="57">
        <v>4</v>
      </c>
      <c r="G20" s="57">
        <v>5</v>
      </c>
      <c r="H20" s="58">
        <v>6</v>
      </c>
      <c r="I20" s="58">
        <v>7</v>
      </c>
      <c r="J20" s="58">
        <v>8</v>
      </c>
      <c r="K20" s="58">
        <v>9</v>
      </c>
      <c r="L20" s="58">
        <v>10</v>
      </c>
      <c r="M20" s="15"/>
      <c r="N20" s="15"/>
      <c r="O20" s="15"/>
      <c r="P20" s="15"/>
      <c r="R20" s="21"/>
      <c r="S20" s="61">
        <v>1</v>
      </c>
      <c r="T20" s="61">
        <v>2</v>
      </c>
      <c r="U20" s="61">
        <v>3</v>
      </c>
      <c r="V20" s="61"/>
      <c r="W20" s="61">
        <v>5</v>
      </c>
      <c r="X20" s="62">
        <v>6</v>
      </c>
      <c r="Y20" s="62">
        <v>7</v>
      </c>
      <c r="Z20" s="62">
        <v>8</v>
      </c>
      <c r="AA20" s="62">
        <v>9</v>
      </c>
      <c r="AB20" s="62">
        <v>10</v>
      </c>
      <c r="AC20" s="62" t="s">
        <v>50</v>
      </c>
      <c r="AD20" s="21"/>
      <c r="AE20" s="21"/>
      <c r="AF20" s="21"/>
      <c r="AH20" s="11"/>
      <c r="AI20" s="63">
        <v>0</v>
      </c>
      <c r="AJ20" s="63">
        <v>1</v>
      </c>
      <c r="AK20" s="63">
        <v>2</v>
      </c>
      <c r="AL20" s="63">
        <v>3</v>
      </c>
      <c r="AM20" s="63">
        <v>4</v>
      </c>
      <c r="AN20" s="63">
        <v>5</v>
      </c>
      <c r="AO20" s="64">
        <v>6</v>
      </c>
      <c r="AP20" s="64">
        <v>7</v>
      </c>
      <c r="AQ20" s="64">
        <v>8</v>
      </c>
      <c r="AR20" s="64">
        <v>9</v>
      </c>
      <c r="AS20" s="64">
        <v>10</v>
      </c>
      <c r="AT20" s="65" t="s">
        <v>53</v>
      </c>
      <c r="AU20" s="13"/>
      <c r="AV20" s="13"/>
      <c r="AW20" s="11"/>
      <c r="AY20" s="36"/>
      <c r="AZ20" s="67">
        <v>0</v>
      </c>
      <c r="BA20" s="67">
        <v>1</v>
      </c>
      <c r="BB20" s="67">
        <v>2</v>
      </c>
      <c r="BC20" s="67">
        <v>3</v>
      </c>
      <c r="BD20" s="67">
        <v>4</v>
      </c>
      <c r="BE20" s="67">
        <v>5</v>
      </c>
      <c r="BF20" s="67">
        <v>6</v>
      </c>
      <c r="BG20" s="67">
        <v>7</v>
      </c>
      <c r="BH20" s="67">
        <v>8</v>
      </c>
      <c r="BI20" s="67">
        <v>9</v>
      </c>
      <c r="BJ20" s="67">
        <v>10</v>
      </c>
      <c r="BK20" s="67" t="s">
        <v>2</v>
      </c>
      <c r="BL20" s="67" t="s">
        <v>3</v>
      </c>
      <c r="BM20" s="67" t="s">
        <v>11</v>
      </c>
      <c r="BN20" s="67" t="s">
        <v>12</v>
      </c>
      <c r="BO20" s="67" t="s">
        <v>38</v>
      </c>
      <c r="BP20" s="67" t="s">
        <v>39</v>
      </c>
      <c r="BQ20" s="67" t="s">
        <v>40</v>
      </c>
      <c r="BR20" s="36"/>
      <c r="BS20" s="36" t="s">
        <v>28</v>
      </c>
      <c r="BT20" s="36" t="s">
        <v>4</v>
      </c>
      <c r="BU20" s="36"/>
      <c r="BV20" s="36"/>
      <c r="BX20" s="15" t="s">
        <v>49</v>
      </c>
      <c r="BY20" s="57">
        <v>0</v>
      </c>
      <c r="BZ20" s="57">
        <v>1</v>
      </c>
      <c r="CA20" s="57">
        <v>2</v>
      </c>
      <c r="CB20" s="57">
        <v>3</v>
      </c>
      <c r="CC20" s="57">
        <v>4</v>
      </c>
      <c r="CD20" s="57">
        <v>5</v>
      </c>
      <c r="CE20" s="58">
        <v>6</v>
      </c>
      <c r="CF20" s="58">
        <v>7</v>
      </c>
      <c r="CG20" s="58">
        <v>8</v>
      </c>
      <c r="CH20" s="58">
        <v>9</v>
      </c>
      <c r="CI20" s="58">
        <v>10</v>
      </c>
      <c r="CK20" s="21" t="s">
        <v>49</v>
      </c>
      <c r="CL20" s="61">
        <v>0</v>
      </c>
      <c r="CM20" s="61">
        <v>1</v>
      </c>
      <c r="CN20" s="61">
        <v>2</v>
      </c>
      <c r="CO20" s="61">
        <v>3</v>
      </c>
      <c r="CP20" s="61">
        <v>4</v>
      </c>
      <c r="CQ20" s="61">
        <v>5</v>
      </c>
      <c r="CR20" s="62">
        <v>6</v>
      </c>
      <c r="CS20" s="62">
        <v>7</v>
      </c>
      <c r="CT20" s="62">
        <v>8</v>
      </c>
      <c r="CU20" s="62">
        <v>9</v>
      </c>
      <c r="CV20" s="62">
        <v>10</v>
      </c>
      <c r="CX20" s="11"/>
      <c r="CY20" s="63">
        <v>0</v>
      </c>
      <c r="CZ20" s="63">
        <v>1</v>
      </c>
      <c r="DA20" s="63">
        <v>2</v>
      </c>
      <c r="DB20" s="63">
        <v>3</v>
      </c>
      <c r="DC20" s="63">
        <v>4</v>
      </c>
      <c r="DD20" s="63">
        <v>5</v>
      </c>
      <c r="DE20" s="64">
        <v>6</v>
      </c>
      <c r="DF20" s="64">
        <v>7</v>
      </c>
      <c r="DG20" s="64">
        <v>8</v>
      </c>
      <c r="DH20" s="64">
        <v>9</v>
      </c>
      <c r="DI20" s="64">
        <v>10</v>
      </c>
      <c r="DK20" s="15"/>
      <c r="DL20" s="57">
        <v>0</v>
      </c>
      <c r="DM20" s="57">
        <v>1</v>
      </c>
      <c r="DN20" s="57">
        <v>2</v>
      </c>
      <c r="DO20" s="57">
        <v>3</v>
      </c>
      <c r="DP20" s="57">
        <v>4</v>
      </c>
      <c r="DQ20" s="57">
        <v>5</v>
      </c>
      <c r="DR20" s="57">
        <v>6</v>
      </c>
      <c r="DS20" s="57">
        <v>7</v>
      </c>
      <c r="DT20" s="57">
        <v>8</v>
      </c>
      <c r="DU20" s="57">
        <v>9</v>
      </c>
      <c r="DV20" s="57">
        <v>10</v>
      </c>
      <c r="DW20" s="57" t="s">
        <v>2</v>
      </c>
      <c r="DX20" s="57" t="s">
        <v>3</v>
      </c>
      <c r="DY20" s="57" t="s">
        <v>11</v>
      </c>
      <c r="EA20" s="21"/>
      <c r="EB20" s="61">
        <v>0</v>
      </c>
      <c r="EC20" s="61">
        <v>1</v>
      </c>
      <c r="ED20" s="61">
        <v>2</v>
      </c>
      <c r="EE20" s="61">
        <v>3</v>
      </c>
      <c r="EF20" s="61">
        <v>4</v>
      </c>
      <c r="EG20" s="61">
        <v>5</v>
      </c>
      <c r="EH20" s="61">
        <v>6</v>
      </c>
      <c r="EI20" s="61">
        <v>7</v>
      </c>
      <c r="EJ20" s="61">
        <v>8</v>
      </c>
      <c r="EK20" s="61">
        <v>9</v>
      </c>
      <c r="EL20" s="61">
        <v>10</v>
      </c>
      <c r="EM20" s="61" t="s">
        <v>2</v>
      </c>
      <c r="EN20" s="61" t="s">
        <v>3</v>
      </c>
      <c r="EO20" s="61" t="s">
        <v>11</v>
      </c>
      <c r="EQ20" s="11"/>
      <c r="ER20" s="63">
        <v>0</v>
      </c>
      <c r="ES20" s="63">
        <v>1</v>
      </c>
      <c r="ET20" s="63">
        <v>2</v>
      </c>
      <c r="EU20" s="63">
        <v>3</v>
      </c>
      <c r="EV20" s="63">
        <v>4</v>
      </c>
      <c r="EW20" s="63">
        <v>5</v>
      </c>
      <c r="EX20" s="63">
        <v>6</v>
      </c>
      <c r="EY20" s="63">
        <v>7</v>
      </c>
      <c r="EZ20" s="63">
        <v>8</v>
      </c>
      <c r="FA20" s="63">
        <v>9</v>
      </c>
      <c r="FB20" s="63">
        <v>10</v>
      </c>
      <c r="FC20" s="63" t="s">
        <v>2</v>
      </c>
      <c r="FD20" s="63" t="s">
        <v>3</v>
      </c>
      <c r="FE20" s="63" t="s">
        <v>11</v>
      </c>
    </row>
    <row r="21" spans="1:161" x14ac:dyDescent="0.3">
      <c r="A21" s="15">
        <v>1977</v>
      </c>
      <c r="B21" s="16">
        <v>564.91600000000005</v>
      </c>
      <c r="C21" s="16"/>
      <c r="D21" s="16"/>
      <c r="E21" s="16"/>
      <c r="F21" s="16"/>
      <c r="G21" s="16"/>
      <c r="H21" s="59"/>
      <c r="I21" s="59"/>
      <c r="J21" s="59"/>
      <c r="K21" s="59"/>
      <c r="L21" s="59"/>
      <c r="M21" s="16"/>
      <c r="N21" s="15"/>
      <c r="O21" s="15"/>
      <c r="P21" s="15"/>
      <c r="R21" s="21">
        <v>1977</v>
      </c>
      <c r="S21" s="21"/>
      <c r="T21" s="21"/>
      <c r="U21" s="21"/>
      <c r="V21" s="21"/>
      <c r="W21" s="21"/>
      <c r="X21" s="3"/>
      <c r="Y21" s="3"/>
      <c r="Z21" s="3"/>
      <c r="AA21" s="3"/>
      <c r="AB21" s="3"/>
      <c r="AC21" s="3"/>
      <c r="AD21" s="21"/>
      <c r="AE21" s="21"/>
      <c r="AF21" s="21"/>
      <c r="AH21" s="11">
        <v>1977</v>
      </c>
      <c r="AI21" s="13">
        <v>6.6760244000878011</v>
      </c>
      <c r="AJ21" s="13"/>
      <c r="AK21" s="13"/>
      <c r="AL21" s="13"/>
      <c r="AM21" s="13"/>
      <c r="AN21" s="13"/>
      <c r="AO21" s="66"/>
      <c r="AP21" s="66"/>
      <c r="AQ21" s="66"/>
      <c r="AR21" s="66"/>
      <c r="AS21" s="66"/>
      <c r="AT21" s="66"/>
      <c r="AU21" s="13"/>
      <c r="AV21" s="13"/>
      <c r="AW21" s="13"/>
      <c r="AY21" s="36">
        <v>1977</v>
      </c>
      <c r="AZ21" s="37">
        <f>AI21*B21</f>
        <v>3771.3930000000005</v>
      </c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6">
        <f>SUM(AZ21:BJ21)*1000</f>
        <v>3771393.0000000005</v>
      </c>
      <c r="BL21" s="36">
        <v>62320419</v>
      </c>
      <c r="BM21" s="38">
        <f>BK21+BL21</f>
        <v>66091812</v>
      </c>
      <c r="BN21" s="38">
        <v>66091812</v>
      </c>
      <c r="BO21" s="39">
        <f>DY21</f>
        <v>66091812</v>
      </c>
      <c r="BP21" s="39">
        <f>FE21</f>
        <v>66091812</v>
      </c>
      <c r="BQ21" s="39">
        <f>EO21</f>
        <v>66091812</v>
      </c>
      <c r="BR21" s="36"/>
      <c r="BS21" s="37">
        <v>0</v>
      </c>
      <c r="BT21" s="40">
        <v>85736000</v>
      </c>
      <c r="BU21" s="36"/>
      <c r="BV21" s="36"/>
      <c r="BX21" s="15">
        <v>1977</v>
      </c>
      <c r="BY21" s="16">
        <v>564.91600000000005</v>
      </c>
      <c r="BZ21" s="16"/>
      <c r="CA21" s="16"/>
      <c r="CB21" s="16"/>
      <c r="CC21" s="16"/>
      <c r="CD21" s="16"/>
      <c r="CE21" s="59"/>
      <c r="CF21" s="59"/>
      <c r="CG21" s="59"/>
      <c r="CH21" s="59"/>
      <c r="CI21" s="59"/>
      <c r="CK21" s="21">
        <v>1977</v>
      </c>
      <c r="CL21" s="24">
        <v>564.91600000000005</v>
      </c>
      <c r="CM21" s="24"/>
      <c r="CN21" s="24"/>
      <c r="CO21" s="24"/>
      <c r="CP21" s="24"/>
      <c r="CQ21" s="24"/>
      <c r="CR21" s="5"/>
      <c r="CS21" s="5"/>
      <c r="CT21" s="5"/>
      <c r="CU21" s="5"/>
      <c r="CV21" s="5"/>
      <c r="CX21" s="11">
        <v>1977</v>
      </c>
      <c r="CY21" s="13">
        <v>6.6760244000878011</v>
      </c>
      <c r="CZ21" s="13"/>
      <c r="DA21" s="13"/>
      <c r="DB21" s="13"/>
      <c r="DC21" s="13"/>
      <c r="DD21" s="13"/>
      <c r="DE21" s="66"/>
      <c r="DF21" s="66"/>
      <c r="DG21" s="66"/>
      <c r="DH21" s="66"/>
      <c r="DI21" s="66"/>
      <c r="DK21" s="15">
        <v>1977</v>
      </c>
      <c r="DL21" s="16">
        <f>BY21*AI21</f>
        <v>3771.3930000000005</v>
      </c>
      <c r="DM21" s="16">
        <f t="shared" ref="DM21:DV21" si="11">BZ21*AJ21</f>
        <v>0</v>
      </c>
      <c r="DN21" s="16">
        <f t="shared" si="11"/>
        <v>0</v>
      </c>
      <c r="DO21" s="16">
        <f t="shared" si="11"/>
        <v>0</v>
      </c>
      <c r="DP21" s="16">
        <f t="shared" si="11"/>
        <v>0</v>
      </c>
      <c r="DQ21" s="16">
        <f t="shared" si="11"/>
        <v>0</v>
      </c>
      <c r="DR21" s="16">
        <f t="shared" si="11"/>
        <v>0</v>
      </c>
      <c r="DS21" s="16">
        <f t="shared" si="11"/>
        <v>0</v>
      </c>
      <c r="DT21" s="16">
        <f t="shared" si="11"/>
        <v>0</v>
      </c>
      <c r="DU21" s="16">
        <f t="shared" si="11"/>
        <v>0</v>
      </c>
      <c r="DV21" s="16">
        <f t="shared" si="11"/>
        <v>0</v>
      </c>
      <c r="DW21" s="15">
        <f>SUM(DL21:DV21)*1000</f>
        <v>3771393.0000000005</v>
      </c>
      <c r="DX21" s="15">
        <v>62320419</v>
      </c>
      <c r="DY21" s="15">
        <f>DW21+DX21</f>
        <v>66091812</v>
      </c>
      <c r="EA21" s="21">
        <v>1977</v>
      </c>
      <c r="EB21" s="24">
        <f>CL21*AI21</f>
        <v>3771.3930000000005</v>
      </c>
      <c r="EC21" s="24">
        <f t="shared" ref="EC21:EL21" si="12">CM21*AJ21</f>
        <v>0</v>
      </c>
      <c r="ED21" s="24">
        <f t="shared" si="12"/>
        <v>0</v>
      </c>
      <c r="EE21" s="24">
        <f t="shared" si="12"/>
        <v>0</v>
      </c>
      <c r="EF21" s="24">
        <f t="shared" si="12"/>
        <v>0</v>
      </c>
      <c r="EG21" s="24">
        <f t="shared" si="12"/>
        <v>0</v>
      </c>
      <c r="EH21" s="24">
        <f t="shared" si="12"/>
        <v>0</v>
      </c>
      <c r="EI21" s="24">
        <f t="shared" si="12"/>
        <v>0</v>
      </c>
      <c r="EJ21" s="24">
        <f t="shared" si="12"/>
        <v>0</v>
      </c>
      <c r="EK21" s="24">
        <f t="shared" si="12"/>
        <v>0</v>
      </c>
      <c r="EL21" s="24">
        <f t="shared" si="12"/>
        <v>0</v>
      </c>
      <c r="EM21" s="21">
        <f>SUM(EB21:EL21)*1000</f>
        <v>3771393.0000000005</v>
      </c>
      <c r="EN21" s="21">
        <v>62320419</v>
      </c>
      <c r="EO21" s="21">
        <f>EM21+EN21</f>
        <v>66091812</v>
      </c>
      <c r="EQ21" s="11">
        <v>1977</v>
      </c>
      <c r="ER21" s="11">
        <f>CY21*B21</f>
        <v>3771.3930000000005</v>
      </c>
      <c r="ES21" s="11">
        <f t="shared" ref="ES21:FB21" si="13">CZ21*C21</f>
        <v>0</v>
      </c>
      <c r="ET21" s="11">
        <f t="shared" si="13"/>
        <v>0</v>
      </c>
      <c r="EU21" s="11">
        <f t="shared" si="13"/>
        <v>0</v>
      </c>
      <c r="EV21" s="11">
        <f t="shared" si="13"/>
        <v>0</v>
      </c>
      <c r="EW21" s="11">
        <f t="shared" si="13"/>
        <v>0</v>
      </c>
      <c r="EX21" s="11">
        <f t="shared" si="13"/>
        <v>0</v>
      </c>
      <c r="EY21" s="11">
        <f t="shared" si="13"/>
        <v>0</v>
      </c>
      <c r="EZ21" s="11">
        <f t="shared" si="13"/>
        <v>0</v>
      </c>
      <c r="FA21" s="11">
        <f t="shared" si="13"/>
        <v>0</v>
      </c>
      <c r="FB21" s="11">
        <f t="shared" si="13"/>
        <v>0</v>
      </c>
      <c r="FC21" s="11">
        <f>SUM(ER21:FB21)*1000</f>
        <v>3771393.0000000005</v>
      </c>
      <c r="FD21" s="11">
        <v>62320419</v>
      </c>
      <c r="FE21" s="11">
        <f>FC21+FD21</f>
        <v>66091812</v>
      </c>
    </row>
    <row r="22" spans="1:161" x14ac:dyDescent="0.3">
      <c r="A22" s="15">
        <v>1978</v>
      </c>
      <c r="B22" s="16">
        <v>503.97699999999998</v>
      </c>
      <c r="C22" s="16">
        <v>413.12799999999999</v>
      </c>
      <c r="D22" s="16"/>
      <c r="E22" s="16"/>
      <c r="F22" s="16"/>
      <c r="G22" s="16"/>
      <c r="H22" s="59"/>
      <c r="I22" s="59"/>
      <c r="J22" s="59"/>
      <c r="K22" s="59"/>
      <c r="L22" s="59"/>
      <c r="M22" s="16"/>
      <c r="N22" s="15"/>
      <c r="O22" s="17"/>
      <c r="P22" s="17"/>
      <c r="R22" s="21">
        <v>1978</v>
      </c>
      <c r="S22" s="23">
        <v>0.74165633895548111</v>
      </c>
      <c r="T22" s="23"/>
      <c r="U22" s="23"/>
      <c r="V22" s="23"/>
      <c r="W22" s="23"/>
      <c r="X22" s="60"/>
      <c r="Y22" s="60"/>
      <c r="Z22" s="60"/>
      <c r="AA22" s="60"/>
      <c r="AB22" s="60"/>
      <c r="AC22" s="60"/>
      <c r="AD22" s="21"/>
      <c r="AE22" s="21"/>
      <c r="AF22" s="21"/>
      <c r="AH22" s="11">
        <v>1978</v>
      </c>
      <c r="AI22" s="13">
        <v>5.3918809786954567</v>
      </c>
      <c r="AJ22" s="13">
        <v>9.0142474003214499</v>
      </c>
      <c r="AK22" s="13"/>
      <c r="AL22" s="13"/>
      <c r="AM22" s="13"/>
      <c r="AN22" s="13"/>
      <c r="AO22" s="66"/>
      <c r="AP22" s="66"/>
      <c r="AQ22" s="66"/>
      <c r="AR22" s="66"/>
      <c r="AS22" s="66"/>
      <c r="AT22" s="66"/>
      <c r="AU22" s="13"/>
      <c r="AV22" s="13"/>
      <c r="AW22" s="13"/>
      <c r="AY22" s="36">
        <v>1978</v>
      </c>
      <c r="AZ22" s="37">
        <f t="shared" ref="AZ22:AZ74" si="14">AI22*B22</f>
        <v>2717.384</v>
      </c>
      <c r="BA22" s="37">
        <f t="shared" ref="BA22:BA74" si="15">AJ22*C22</f>
        <v>3724.038</v>
      </c>
      <c r="BB22" s="37"/>
      <c r="BC22" s="37"/>
      <c r="BD22" s="37"/>
      <c r="BE22" s="37"/>
      <c r="BF22" s="37"/>
      <c r="BG22" s="37"/>
      <c r="BH22" s="37"/>
      <c r="BI22" s="37"/>
      <c r="BJ22" s="37"/>
      <c r="BK22" s="36">
        <f t="shared" ref="BK22:BK74" si="16">SUM(AZ22:BJ22)*1000</f>
        <v>6441422.0000000009</v>
      </c>
      <c r="BL22" s="36">
        <v>63228930</v>
      </c>
      <c r="BM22" s="38">
        <f t="shared" ref="BM22:BM74" si="17">BK22+BL22</f>
        <v>69670352</v>
      </c>
      <c r="BN22" s="38">
        <v>69670352</v>
      </c>
      <c r="BO22" s="39">
        <f t="shared" ref="BO22:BO74" si="18">DY22</f>
        <v>69670352</v>
      </c>
      <c r="BP22" s="39">
        <f t="shared" ref="BP22:BP74" si="19">FE22</f>
        <v>69670352</v>
      </c>
      <c r="BQ22" s="39">
        <f t="shared" ref="BQ22:BQ74" si="20">EO22</f>
        <v>69670352</v>
      </c>
      <c r="BR22" s="36"/>
      <c r="BS22" s="37">
        <v>1</v>
      </c>
      <c r="BT22" s="40">
        <v>2155300</v>
      </c>
      <c r="BU22" s="36"/>
      <c r="BV22" s="36"/>
      <c r="BX22" s="15">
        <v>1978</v>
      </c>
      <c r="BY22" s="16">
        <v>503.97699999999998</v>
      </c>
      <c r="BZ22" s="16">
        <v>413.12799999999999</v>
      </c>
      <c r="CA22" s="16"/>
      <c r="CB22" s="16"/>
      <c r="CC22" s="16"/>
      <c r="CD22" s="16"/>
      <c r="CE22" s="59"/>
      <c r="CF22" s="59"/>
      <c r="CG22" s="59"/>
      <c r="CH22" s="59"/>
      <c r="CI22" s="59"/>
      <c r="CK22" s="21">
        <v>1978</v>
      </c>
      <c r="CL22" s="24">
        <v>503.97699999999998</v>
      </c>
      <c r="CM22" s="24">
        <v>413.12799999999999</v>
      </c>
      <c r="CN22" s="24"/>
      <c r="CO22" s="24"/>
      <c r="CP22" s="24"/>
      <c r="CQ22" s="24"/>
      <c r="CR22" s="5"/>
      <c r="CS22" s="5"/>
      <c r="CT22" s="5"/>
      <c r="CU22" s="5"/>
      <c r="CV22" s="5"/>
      <c r="CX22" s="11">
        <v>1978</v>
      </c>
      <c r="CY22" s="13">
        <v>5.3918809786954567</v>
      </c>
      <c r="CZ22" s="13">
        <v>9.0142474003214499</v>
      </c>
      <c r="DA22" s="13"/>
      <c r="DB22" s="13"/>
      <c r="DC22" s="13"/>
      <c r="DD22" s="13"/>
      <c r="DE22" s="66"/>
      <c r="DF22" s="66"/>
      <c r="DG22" s="66"/>
      <c r="DH22" s="66"/>
      <c r="DI22" s="66"/>
      <c r="DK22" s="15">
        <v>1978</v>
      </c>
      <c r="DL22" s="16">
        <f t="shared" ref="DL22:DL74" si="21">BY22*AI22</f>
        <v>2717.384</v>
      </c>
      <c r="DM22" s="16">
        <f t="shared" ref="DM22:DM74" si="22">BZ22*AJ22</f>
        <v>3724.038</v>
      </c>
      <c r="DN22" s="16">
        <f t="shared" ref="DN22:DN74" si="23">CA22*AK22</f>
        <v>0</v>
      </c>
      <c r="DO22" s="16">
        <f t="shared" ref="DO22:DO74" si="24">CB22*AL22</f>
        <v>0</v>
      </c>
      <c r="DP22" s="16">
        <f t="shared" ref="DP22:DP74" si="25">CC22*AM22</f>
        <v>0</v>
      </c>
      <c r="DQ22" s="16">
        <f t="shared" ref="DQ22:DQ74" si="26">CD22*AN22</f>
        <v>0</v>
      </c>
      <c r="DR22" s="16">
        <f t="shared" ref="DR22:DR74" si="27">CE22*AO22</f>
        <v>0</v>
      </c>
      <c r="DS22" s="16">
        <f t="shared" ref="DS22:DS74" si="28">CF22*AP22</f>
        <v>0</v>
      </c>
      <c r="DT22" s="16">
        <f t="shared" ref="DT22:DT74" si="29">CG22*AQ22</f>
        <v>0</v>
      </c>
      <c r="DU22" s="16">
        <f t="shared" ref="DU22:DU74" si="30">CH22*AR22</f>
        <v>0</v>
      </c>
      <c r="DV22" s="16">
        <f t="shared" ref="DV22:DV74" si="31">CI22*AS22</f>
        <v>0</v>
      </c>
      <c r="DW22" s="15">
        <f t="shared" ref="DW22:DW74" si="32">SUM(DL22:DV22)*1000</f>
        <v>6441422.0000000009</v>
      </c>
      <c r="DX22" s="15">
        <v>63228930</v>
      </c>
      <c r="DY22" s="15">
        <f t="shared" ref="DY22:DY74" si="33">DW22+DX22</f>
        <v>69670352</v>
      </c>
      <c r="EA22" s="21">
        <v>1978</v>
      </c>
      <c r="EB22" s="24">
        <f t="shared" ref="EB22:EB74" si="34">CL22*AI22</f>
        <v>2717.384</v>
      </c>
      <c r="EC22" s="24">
        <f t="shared" ref="EC22:EC74" si="35">CM22*AJ22</f>
        <v>3724.038</v>
      </c>
      <c r="ED22" s="24">
        <f t="shared" ref="ED22:ED74" si="36">CN22*AK22</f>
        <v>0</v>
      </c>
      <c r="EE22" s="24">
        <f t="shared" ref="EE22:EE74" si="37">CO22*AL22</f>
        <v>0</v>
      </c>
      <c r="EF22" s="24">
        <f t="shared" ref="EF22:EF74" si="38">CP22*AM22</f>
        <v>0</v>
      </c>
      <c r="EG22" s="24">
        <f t="shared" ref="EG22:EG74" si="39">CQ22*AN22</f>
        <v>0</v>
      </c>
      <c r="EH22" s="24">
        <f t="shared" ref="EH22:EH74" si="40">CR22*AO22</f>
        <v>0</v>
      </c>
      <c r="EI22" s="24">
        <f t="shared" ref="EI22:EI74" si="41">CS22*AP22</f>
        <v>0</v>
      </c>
      <c r="EJ22" s="24">
        <f t="shared" ref="EJ22:EJ74" si="42">CT22*AQ22</f>
        <v>0</v>
      </c>
      <c r="EK22" s="24">
        <f t="shared" ref="EK22:EK74" si="43">CU22*AR22</f>
        <v>0</v>
      </c>
      <c r="EL22" s="24">
        <f t="shared" ref="EL22:EL74" si="44">CV22*AS22</f>
        <v>0</v>
      </c>
      <c r="EM22" s="21">
        <f t="shared" ref="EM22:EM74" si="45">SUM(EB22:EL22)*1000</f>
        <v>6441422.0000000009</v>
      </c>
      <c r="EN22" s="21">
        <v>63228930</v>
      </c>
      <c r="EO22" s="21">
        <f t="shared" ref="EO22:EO74" si="46">EM22+EN22</f>
        <v>69670352</v>
      </c>
      <c r="EQ22" s="11">
        <v>1978</v>
      </c>
      <c r="ER22" s="11">
        <f t="shared" ref="ER22:ER74" si="47">CY22*B22</f>
        <v>2717.384</v>
      </c>
      <c r="ES22" s="11">
        <f t="shared" ref="ES22:ES74" si="48">CZ22*C22</f>
        <v>3724.038</v>
      </c>
      <c r="ET22" s="11">
        <f t="shared" ref="ET22:ET74" si="49">DA22*D22</f>
        <v>0</v>
      </c>
      <c r="EU22" s="11">
        <f t="shared" ref="EU22:EU74" si="50">DB22*E22</f>
        <v>0</v>
      </c>
      <c r="EV22" s="11">
        <f t="shared" ref="EV22:EV74" si="51">DC22*F22</f>
        <v>0</v>
      </c>
      <c r="EW22" s="11">
        <f t="shared" ref="EW22:EW74" si="52">DD22*G22</f>
        <v>0</v>
      </c>
      <c r="EX22" s="11">
        <f t="shared" ref="EX22:EX74" si="53">DE22*H22</f>
        <v>0</v>
      </c>
      <c r="EY22" s="11">
        <f t="shared" ref="EY22:EY74" si="54">DF22*I22</f>
        <v>0</v>
      </c>
      <c r="EZ22" s="11">
        <f t="shared" ref="EZ22:EZ74" si="55">DG22*J22</f>
        <v>0</v>
      </c>
      <c r="FA22" s="11">
        <f t="shared" ref="FA22:FA74" si="56">DH22*K22</f>
        <v>0</v>
      </c>
      <c r="FB22" s="11">
        <f t="shared" ref="FB22:FB74" si="57">DI22*L22</f>
        <v>0</v>
      </c>
      <c r="FC22" s="11">
        <f t="shared" ref="FC22:FC74" si="58">SUM(ER22:FB22)*1000</f>
        <v>6441422.0000000009</v>
      </c>
      <c r="FD22" s="11">
        <v>63228930</v>
      </c>
      <c r="FE22" s="11">
        <f t="shared" ref="FE22:FE74" si="59">FC22+FD22</f>
        <v>69670352</v>
      </c>
    </row>
    <row r="23" spans="1:161" x14ac:dyDescent="0.3">
      <c r="A23" s="15">
        <v>1979</v>
      </c>
      <c r="B23" s="16">
        <v>497.762</v>
      </c>
      <c r="C23" s="16">
        <v>390.339</v>
      </c>
      <c r="D23" s="16">
        <v>355.88499999999999</v>
      </c>
      <c r="E23" s="16"/>
      <c r="F23" s="16"/>
      <c r="G23" s="16"/>
      <c r="H23" s="59"/>
      <c r="I23" s="59"/>
      <c r="J23" s="59"/>
      <c r="K23" s="59"/>
      <c r="L23" s="59"/>
      <c r="M23" s="16"/>
      <c r="N23" s="15"/>
      <c r="O23" s="15"/>
      <c r="P23" s="15"/>
      <c r="R23" s="21">
        <v>1979</v>
      </c>
      <c r="S23" s="23">
        <v>0.80497465023991965</v>
      </c>
      <c r="T23" s="23">
        <v>0.86681933770740549</v>
      </c>
      <c r="U23" s="23"/>
      <c r="V23" s="23"/>
      <c r="W23" s="23"/>
      <c r="X23" s="60"/>
      <c r="Y23" s="60"/>
      <c r="Z23" s="60"/>
      <c r="AA23" s="60"/>
      <c r="AB23" s="60"/>
      <c r="AC23" s="60"/>
      <c r="AD23" s="21"/>
      <c r="AE23" s="21"/>
      <c r="AF23" s="21"/>
      <c r="AH23" s="11">
        <v>1979</v>
      </c>
      <c r="AI23" s="13">
        <v>5.7466379514707828</v>
      </c>
      <c r="AJ23" s="13">
        <v>7.1583162328130161</v>
      </c>
      <c r="AK23" s="13">
        <v>10.201655029012182</v>
      </c>
      <c r="AL23" s="13"/>
      <c r="AM23" s="13"/>
      <c r="AN23" s="13"/>
      <c r="AO23" s="66"/>
      <c r="AP23" s="66"/>
      <c r="AQ23" s="66"/>
      <c r="AR23" s="66"/>
      <c r="AS23" s="66"/>
      <c r="AT23" s="66"/>
      <c r="AU23" s="13"/>
      <c r="AV23" s="13"/>
      <c r="AW23" s="13"/>
      <c r="AY23" s="36">
        <v>1979</v>
      </c>
      <c r="AZ23" s="37">
        <f t="shared" si="14"/>
        <v>2860.4579999999996</v>
      </c>
      <c r="BA23" s="37">
        <f t="shared" si="15"/>
        <v>2794.17</v>
      </c>
      <c r="BB23" s="37">
        <f t="shared" ref="BB23:BB74" si="60">AK23*D23</f>
        <v>3630.616</v>
      </c>
      <c r="BC23" s="37"/>
      <c r="BD23" s="37"/>
      <c r="BE23" s="37"/>
      <c r="BF23" s="37"/>
      <c r="BG23" s="37"/>
      <c r="BH23" s="37"/>
      <c r="BI23" s="37"/>
      <c r="BJ23" s="37"/>
      <c r="BK23" s="36">
        <f t="shared" si="16"/>
        <v>9285243.9999999981</v>
      </c>
      <c r="BL23" s="36">
        <v>64731435</v>
      </c>
      <c r="BM23" s="38">
        <f t="shared" si="17"/>
        <v>74016679</v>
      </c>
      <c r="BN23" s="38">
        <v>74016679</v>
      </c>
      <c r="BO23" s="39">
        <f t="shared" si="18"/>
        <v>74016679</v>
      </c>
      <c r="BP23" s="39">
        <f t="shared" si="19"/>
        <v>74016679</v>
      </c>
      <c r="BQ23" s="39">
        <f t="shared" si="20"/>
        <v>74016679</v>
      </c>
      <c r="BR23" s="36"/>
      <c r="BS23" s="37">
        <v>2</v>
      </c>
      <c r="BT23" s="36"/>
      <c r="BU23" s="36"/>
      <c r="BV23" s="36"/>
      <c r="BX23" s="15">
        <v>1979</v>
      </c>
      <c r="BY23" s="16">
        <v>497.762</v>
      </c>
      <c r="BZ23" s="16">
        <v>390.339</v>
      </c>
      <c r="CA23" s="16">
        <v>355.88499999999999</v>
      </c>
      <c r="CB23" s="16"/>
      <c r="CC23" s="16"/>
      <c r="CD23" s="16"/>
      <c r="CE23" s="59"/>
      <c r="CF23" s="59"/>
      <c r="CG23" s="59"/>
      <c r="CH23" s="59"/>
      <c r="CI23" s="59"/>
      <c r="CK23" s="21">
        <v>1979</v>
      </c>
      <c r="CL23" s="24">
        <v>497.762</v>
      </c>
      <c r="CM23" s="24">
        <v>390.339</v>
      </c>
      <c r="CN23" s="24">
        <v>355.88499999999999</v>
      </c>
      <c r="CO23" s="24"/>
      <c r="CP23" s="24"/>
      <c r="CQ23" s="24"/>
      <c r="CR23" s="5"/>
      <c r="CS23" s="5"/>
      <c r="CT23" s="5"/>
      <c r="CU23" s="5"/>
      <c r="CV23" s="5"/>
      <c r="CX23" s="11">
        <v>1979</v>
      </c>
      <c r="CY23" s="13">
        <v>5.7466379514707828</v>
      </c>
      <c r="CZ23" s="13">
        <v>7.1583162328130161</v>
      </c>
      <c r="DA23" s="13">
        <v>10.201655029012182</v>
      </c>
      <c r="DB23" s="13"/>
      <c r="DC23" s="13"/>
      <c r="DD23" s="13"/>
      <c r="DE23" s="66"/>
      <c r="DF23" s="66"/>
      <c r="DG23" s="66"/>
      <c r="DH23" s="66"/>
      <c r="DI23" s="66"/>
      <c r="DK23" s="15">
        <v>1979</v>
      </c>
      <c r="DL23" s="16">
        <f t="shared" si="21"/>
        <v>2860.4579999999996</v>
      </c>
      <c r="DM23" s="16">
        <f t="shared" si="22"/>
        <v>2794.17</v>
      </c>
      <c r="DN23" s="16">
        <f t="shared" si="23"/>
        <v>3630.616</v>
      </c>
      <c r="DO23" s="16">
        <f t="shared" si="24"/>
        <v>0</v>
      </c>
      <c r="DP23" s="16">
        <f t="shared" si="25"/>
        <v>0</v>
      </c>
      <c r="DQ23" s="16">
        <f t="shared" si="26"/>
        <v>0</v>
      </c>
      <c r="DR23" s="16">
        <f t="shared" si="27"/>
        <v>0</v>
      </c>
      <c r="DS23" s="16">
        <f t="shared" si="28"/>
        <v>0</v>
      </c>
      <c r="DT23" s="16">
        <f t="shared" si="29"/>
        <v>0</v>
      </c>
      <c r="DU23" s="16">
        <f t="shared" si="30"/>
        <v>0</v>
      </c>
      <c r="DV23" s="16">
        <f t="shared" si="31"/>
        <v>0</v>
      </c>
      <c r="DW23" s="15">
        <f t="shared" si="32"/>
        <v>9285243.9999999981</v>
      </c>
      <c r="DX23" s="15">
        <v>64731435</v>
      </c>
      <c r="DY23" s="15">
        <f t="shared" si="33"/>
        <v>74016679</v>
      </c>
      <c r="EA23" s="21">
        <v>1979</v>
      </c>
      <c r="EB23" s="24">
        <f t="shared" si="34"/>
        <v>2860.4579999999996</v>
      </c>
      <c r="EC23" s="24">
        <f t="shared" si="35"/>
        <v>2794.17</v>
      </c>
      <c r="ED23" s="24">
        <f t="shared" si="36"/>
        <v>3630.616</v>
      </c>
      <c r="EE23" s="24">
        <f t="shared" si="37"/>
        <v>0</v>
      </c>
      <c r="EF23" s="24">
        <f t="shared" si="38"/>
        <v>0</v>
      </c>
      <c r="EG23" s="24">
        <f t="shared" si="39"/>
        <v>0</v>
      </c>
      <c r="EH23" s="24">
        <f t="shared" si="40"/>
        <v>0</v>
      </c>
      <c r="EI23" s="24">
        <f t="shared" si="41"/>
        <v>0</v>
      </c>
      <c r="EJ23" s="24">
        <f t="shared" si="42"/>
        <v>0</v>
      </c>
      <c r="EK23" s="24">
        <f t="shared" si="43"/>
        <v>0</v>
      </c>
      <c r="EL23" s="24">
        <f t="shared" si="44"/>
        <v>0</v>
      </c>
      <c r="EM23" s="21">
        <f t="shared" si="45"/>
        <v>9285243.9999999981</v>
      </c>
      <c r="EN23" s="21">
        <v>64731435</v>
      </c>
      <c r="EO23" s="21">
        <f t="shared" si="46"/>
        <v>74016679</v>
      </c>
      <c r="EQ23" s="11">
        <v>1979</v>
      </c>
      <c r="ER23" s="11">
        <f t="shared" si="47"/>
        <v>2860.4579999999996</v>
      </c>
      <c r="ES23" s="11">
        <f t="shared" si="48"/>
        <v>2794.17</v>
      </c>
      <c r="ET23" s="11">
        <f t="shared" si="49"/>
        <v>3630.616</v>
      </c>
      <c r="EU23" s="11">
        <f t="shared" si="50"/>
        <v>0</v>
      </c>
      <c r="EV23" s="11">
        <f t="shared" si="51"/>
        <v>0</v>
      </c>
      <c r="EW23" s="11">
        <f t="shared" si="52"/>
        <v>0</v>
      </c>
      <c r="EX23" s="11">
        <f t="shared" si="53"/>
        <v>0</v>
      </c>
      <c r="EY23" s="11">
        <f t="shared" si="54"/>
        <v>0</v>
      </c>
      <c r="EZ23" s="11">
        <f t="shared" si="55"/>
        <v>0</v>
      </c>
      <c r="FA23" s="11">
        <f t="shared" si="56"/>
        <v>0</v>
      </c>
      <c r="FB23" s="11">
        <f t="shared" si="57"/>
        <v>0</v>
      </c>
      <c r="FC23" s="11">
        <f t="shared" si="58"/>
        <v>9285243.9999999981</v>
      </c>
      <c r="FD23" s="11">
        <v>64731435</v>
      </c>
      <c r="FE23" s="11">
        <f t="shared" si="59"/>
        <v>74016679</v>
      </c>
    </row>
    <row r="24" spans="1:161" x14ac:dyDescent="0.3">
      <c r="A24" s="15">
        <v>1980</v>
      </c>
      <c r="B24" s="16">
        <v>451.53300000000002</v>
      </c>
      <c r="C24" s="16">
        <v>363.73899999999998</v>
      </c>
      <c r="D24" s="16">
        <v>319.38200000000001</v>
      </c>
      <c r="E24" s="16">
        <v>307.60000000000002</v>
      </c>
      <c r="F24" s="16"/>
      <c r="G24" s="16"/>
      <c r="H24" s="59"/>
      <c r="I24" s="59"/>
      <c r="J24" s="59"/>
      <c r="K24" s="59"/>
      <c r="L24" s="59"/>
      <c r="M24" s="16"/>
      <c r="N24" s="15"/>
      <c r="O24" s="15"/>
      <c r="P24" s="15"/>
      <c r="R24" s="21">
        <v>1980</v>
      </c>
      <c r="S24" s="23">
        <v>0.74546309304198888</v>
      </c>
      <c r="T24" s="23">
        <v>0.81184287154567258</v>
      </c>
      <c r="U24" s="23">
        <v>0.85880039011703513</v>
      </c>
      <c r="V24" s="23"/>
      <c r="W24" s="23"/>
      <c r="X24" s="60"/>
      <c r="Y24" s="60"/>
      <c r="Z24" s="60"/>
      <c r="AA24" s="60"/>
      <c r="AB24" s="60"/>
      <c r="AC24" s="60"/>
      <c r="AD24" s="21"/>
      <c r="AE24" s="21"/>
      <c r="AF24" s="21"/>
      <c r="AH24" s="11">
        <v>1980</v>
      </c>
      <c r="AI24" s="13">
        <v>5.5496785395530335</v>
      </c>
      <c r="AJ24" s="13">
        <v>7.2057189358303617</v>
      </c>
      <c r="AK24" s="13">
        <v>7.5290749009023674</v>
      </c>
      <c r="AL24" s="13">
        <v>11.19400845253576</v>
      </c>
      <c r="AM24" s="13"/>
      <c r="AN24" s="13"/>
      <c r="AO24" s="66"/>
      <c r="AP24" s="66"/>
      <c r="AQ24" s="66"/>
      <c r="AR24" s="66"/>
      <c r="AS24" s="66"/>
      <c r="AT24" s="66"/>
      <c r="AU24" s="13"/>
      <c r="AV24" s="13"/>
      <c r="AW24" s="13"/>
      <c r="AY24" s="36">
        <v>1980</v>
      </c>
      <c r="AZ24" s="37">
        <f t="shared" si="14"/>
        <v>2505.8629999999998</v>
      </c>
      <c r="BA24" s="37">
        <f t="shared" si="15"/>
        <v>2621.0009999999997</v>
      </c>
      <c r="BB24" s="37">
        <f t="shared" si="60"/>
        <v>2404.6509999999998</v>
      </c>
      <c r="BC24" s="37">
        <f t="shared" ref="BC24:BC74" si="61">AL24*E24</f>
        <v>3443.277</v>
      </c>
      <c r="BD24" s="37"/>
      <c r="BE24" s="37"/>
      <c r="BF24" s="37"/>
      <c r="BG24" s="37"/>
      <c r="BH24" s="37"/>
      <c r="BI24" s="37"/>
      <c r="BJ24" s="37"/>
      <c r="BK24" s="36">
        <f t="shared" si="16"/>
        <v>10974792</v>
      </c>
      <c r="BL24" s="36">
        <v>63775133</v>
      </c>
      <c r="BM24" s="38">
        <f t="shared" si="17"/>
        <v>74749925</v>
      </c>
      <c r="BN24" s="38">
        <v>74749925</v>
      </c>
      <c r="BO24" s="39">
        <f t="shared" si="18"/>
        <v>74749925</v>
      </c>
      <c r="BP24" s="39">
        <f t="shared" si="19"/>
        <v>74749925</v>
      </c>
      <c r="BQ24" s="39">
        <f t="shared" si="20"/>
        <v>74749925</v>
      </c>
      <c r="BR24" s="36"/>
      <c r="BS24" s="37">
        <v>3</v>
      </c>
      <c r="BT24" s="36"/>
      <c r="BU24" s="36"/>
      <c r="BV24" s="36"/>
      <c r="BX24" s="15">
        <v>1980</v>
      </c>
      <c r="BY24" s="16">
        <v>451.53300000000002</v>
      </c>
      <c r="BZ24" s="16">
        <v>363.73899999999998</v>
      </c>
      <c r="CA24" s="16">
        <v>319.38200000000001</v>
      </c>
      <c r="CB24" s="16">
        <v>307.60000000000002</v>
      </c>
      <c r="CC24" s="16"/>
      <c r="CD24" s="16"/>
      <c r="CE24" s="59"/>
      <c r="CF24" s="59"/>
      <c r="CG24" s="59"/>
      <c r="CH24" s="59"/>
      <c r="CI24" s="59"/>
      <c r="CK24" s="21">
        <v>1980</v>
      </c>
      <c r="CL24" s="24">
        <v>451.53300000000002</v>
      </c>
      <c r="CM24" s="24">
        <v>363.73899999999998</v>
      </c>
      <c r="CN24" s="24">
        <v>319.38200000000001</v>
      </c>
      <c r="CO24" s="24">
        <v>307.60000000000002</v>
      </c>
      <c r="CP24" s="24"/>
      <c r="CQ24" s="24"/>
      <c r="CR24" s="5"/>
      <c r="CS24" s="5"/>
      <c r="CT24" s="5"/>
      <c r="CU24" s="5"/>
      <c r="CV24" s="5"/>
      <c r="CX24" s="11">
        <v>1980</v>
      </c>
      <c r="CY24" s="13">
        <v>5.5496785395530335</v>
      </c>
      <c r="CZ24" s="13">
        <v>7.2057189358303617</v>
      </c>
      <c r="DA24" s="13">
        <v>7.5290749009023674</v>
      </c>
      <c r="DB24" s="13">
        <v>11.19400845253576</v>
      </c>
      <c r="DC24" s="13"/>
      <c r="DD24" s="13"/>
      <c r="DE24" s="66"/>
      <c r="DF24" s="66"/>
      <c r="DG24" s="66"/>
      <c r="DH24" s="66"/>
      <c r="DI24" s="66"/>
      <c r="DK24" s="15">
        <v>1980</v>
      </c>
      <c r="DL24" s="16">
        <f t="shared" si="21"/>
        <v>2505.8629999999998</v>
      </c>
      <c r="DM24" s="16">
        <f t="shared" si="22"/>
        <v>2621.0009999999997</v>
      </c>
      <c r="DN24" s="16">
        <f t="shared" si="23"/>
        <v>2404.6509999999998</v>
      </c>
      <c r="DO24" s="16">
        <f t="shared" si="24"/>
        <v>3443.277</v>
      </c>
      <c r="DP24" s="16">
        <f t="shared" si="25"/>
        <v>0</v>
      </c>
      <c r="DQ24" s="16">
        <f t="shared" si="26"/>
        <v>0</v>
      </c>
      <c r="DR24" s="16">
        <f t="shared" si="27"/>
        <v>0</v>
      </c>
      <c r="DS24" s="16">
        <f t="shared" si="28"/>
        <v>0</v>
      </c>
      <c r="DT24" s="16">
        <f t="shared" si="29"/>
        <v>0</v>
      </c>
      <c r="DU24" s="16">
        <f t="shared" si="30"/>
        <v>0</v>
      </c>
      <c r="DV24" s="16">
        <f t="shared" si="31"/>
        <v>0</v>
      </c>
      <c r="DW24" s="15">
        <f t="shared" si="32"/>
        <v>10974792</v>
      </c>
      <c r="DX24" s="15">
        <v>63775133</v>
      </c>
      <c r="DY24" s="15">
        <f t="shared" si="33"/>
        <v>74749925</v>
      </c>
      <c r="EA24" s="21">
        <v>1980</v>
      </c>
      <c r="EB24" s="24">
        <f t="shared" si="34"/>
        <v>2505.8629999999998</v>
      </c>
      <c r="EC24" s="24">
        <f t="shared" si="35"/>
        <v>2621.0009999999997</v>
      </c>
      <c r="ED24" s="24">
        <f t="shared" si="36"/>
        <v>2404.6509999999998</v>
      </c>
      <c r="EE24" s="24">
        <f t="shared" si="37"/>
        <v>3443.277</v>
      </c>
      <c r="EF24" s="24">
        <f t="shared" si="38"/>
        <v>0</v>
      </c>
      <c r="EG24" s="24">
        <f t="shared" si="39"/>
        <v>0</v>
      </c>
      <c r="EH24" s="24">
        <f t="shared" si="40"/>
        <v>0</v>
      </c>
      <c r="EI24" s="24">
        <f t="shared" si="41"/>
        <v>0</v>
      </c>
      <c r="EJ24" s="24">
        <f t="shared" si="42"/>
        <v>0</v>
      </c>
      <c r="EK24" s="24">
        <f t="shared" si="43"/>
        <v>0</v>
      </c>
      <c r="EL24" s="24">
        <f t="shared" si="44"/>
        <v>0</v>
      </c>
      <c r="EM24" s="21">
        <f t="shared" si="45"/>
        <v>10974792</v>
      </c>
      <c r="EN24" s="21">
        <v>63775133</v>
      </c>
      <c r="EO24" s="21">
        <f t="shared" si="46"/>
        <v>74749925</v>
      </c>
      <c r="EQ24" s="11">
        <v>1980</v>
      </c>
      <c r="ER24" s="11">
        <f t="shared" si="47"/>
        <v>2505.8629999999998</v>
      </c>
      <c r="ES24" s="11">
        <f t="shared" si="48"/>
        <v>2621.0009999999997</v>
      </c>
      <c r="ET24" s="11">
        <f t="shared" si="49"/>
        <v>2404.6509999999998</v>
      </c>
      <c r="EU24" s="11">
        <f t="shared" si="50"/>
        <v>3443.277</v>
      </c>
      <c r="EV24" s="11">
        <f t="shared" si="51"/>
        <v>0</v>
      </c>
      <c r="EW24" s="11">
        <f t="shared" si="52"/>
        <v>0</v>
      </c>
      <c r="EX24" s="11">
        <f t="shared" si="53"/>
        <v>0</v>
      </c>
      <c r="EY24" s="11">
        <f t="shared" si="54"/>
        <v>0</v>
      </c>
      <c r="EZ24" s="11">
        <f t="shared" si="55"/>
        <v>0</v>
      </c>
      <c r="FA24" s="11">
        <f t="shared" si="56"/>
        <v>0</v>
      </c>
      <c r="FB24" s="11">
        <f t="shared" si="57"/>
        <v>0</v>
      </c>
      <c r="FC24" s="11">
        <f t="shared" si="58"/>
        <v>10974792</v>
      </c>
      <c r="FD24" s="11">
        <v>63775133</v>
      </c>
      <c r="FE24" s="11">
        <f t="shared" si="59"/>
        <v>74749925</v>
      </c>
    </row>
    <row r="25" spans="1:161" x14ac:dyDescent="0.3">
      <c r="A25" s="15">
        <v>1981</v>
      </c>
      <c r="B25" s="16">
        <v>453.76400000000001</v>
      </c>
      <c r="C25" s="16">
        <v>331.93599999999998</v>
      </c>
      <c r="D25" s="16">
        <v>305.85199999999998</v>
      </c>
      <c r="E25" s="16">
        <v>268.72300000000001</v>
      </c>
      <c r="F25" s="16">
        <v>261.94099999999997</v>
      </c>
      <c r="G25" s="16"/>
      <c r="H25" s="59"/>
      <c r="I25" s="59"/>
      <c r="J25" s="59"/>
      <c r="K25" s="59"/>
      <c r="L25" s="59"/>
      <c r="M25" s="16"/>
      <c r="N25" s="15"/>
      <c r="O25" s="15"/>
      <c r="P25" s="15"/>
      <c r="R25" s="21">
        <v>1981</v>
      </c>
      <c r="S25" s="23">
        <v>0.75806480767376838</v>
      </c>
      <c r="T25" s="23">
        <v>0.82661875678432706</v>
      </c>
      <c r="U25" s="23">
        <v>0.84086959434064079</v>
      </c>
      <c r="V25" s="23">
        <v>0.86983710072115472</v>
      </c>
      <c r="W25" s="23"/>
      <c r="X25" s="60"/>
      <c r="Y25" s="60"/>
      <c r="Z25" s="60"/>
      <c r="AA25" s="60"/>
      <c r="AB25" s="60"/>
      <c r="AC25" s="60"/>
      <c r="AD25" s="21"/>
      <c r="AE25" s="21"/>
      <c r="AF25" s="21"/>
      <c r="AH25" s="11">
        <v>1981</v>
      </c>
      <c r="AI25" s="13">
        <v>6.5424934547474018</v>
      </c>
      <c r="AJ25" s="13">
        <v>7.0613521883736627</v>
      </c>
      <c r="AK25" s="13">
        <v>7.8893745994794866</v>
      </c>
      <c r="AL25" s="13">
        <v>8.022342709779215</v>
      </c>
      <c r="AM25" s="13">
        <v>11.651387144433288</v>
      </c>
      <c r="AN25" s="13"/>
      <c r="AO25" s="66"/>
      <c r="AP25" s="66"/>
      <c r="AQ25" s="66"/>
      <c r="AR25" s="66"/>
      <c r="AS25" s="66"/>
      <c r="AT25" s="66"/>
      <c r="AU25" s="13"/>
      <c r="AV25" s="13"/>
      <c r="AW25" s="13"/>
      <c r="AY25" s="36">
        <v>1981</v>
      </c>
      <c r="AZ25" s="37">
        <f t="shared" si="14"/>
        <v>2968.748</v>
      </c>
      <c r="BA25" s="37">
        <f t="shared" si="15"/>
        <v>2343.9169999999999</v>
      </c>
      <c r="BB25" s="37">
        <f t="shared" si="60"/>
        <v>2412.9809999999998</v>
      </c>
      <c r="BC25" s="37">
        <f t="shared" si="61"/>
        <v>2155.788</v>
      </c>
      <c r="BD25" s="37">
        <f t="shared" ref="BD25:BD74" si="62">AM25*F25</f>
        <v>3051.9759999999997</v>
      </c>
      <c r="BE25" s="37"/>
      <c r="BF25" s="37"/>
      <c r="BG25" s="37"/>
      <c r="BH25" s="37"/>
      <c r="BI25" s="37"/>
      <c r="BJ25" s="37"/>
      <c r="BK25" s="36">
        <f t="shared" si="16"/>
        <v>12933410</v>
      </c>
      <c r="BL25" s="36">
        <v>60605624</v>
      </c>
      <c r="BM25" s="38">
        <f t="shared" si="17"/>
        <v>73539034</v>
      </c>
      <c r="BN25" s="38">
        <v>73539034</v>
      </c>
      <c r="BO25" s="39">
        <f t="shared" si="18"/>
        <v>73539034</v>
      </c>
      <c r="BP25" s="39">
        <f t="shared" si="19"/>
        <v>73539034</v>
      </c>
      <c r="BQ25" s="39">
        <f t="shared" si="20"/>
        <v>73539034</v>
      </c>
      <c r="BR25" s="36"/>
      <c r="BS25" s="37">
        <v>4</v>
      </c>
      <c r="BT25" s="36"/>
      <c r="BU25" s="36"/>
      <c r="BV25" s="36"/>
      <c r="BX25" s="15">
        <v>1981</v>
      </c>
      <c r="BY25" s="16">
        <v>453.76400000000001</v>
      </c>
      <c r="BZ25" s="16">
        <v>331.93599999999998</v>
      </c>
      <c r="CA25" s="16">
        <v>305.85199999999998</v>
      </c>
      <c r="CB25" s="16">
        <v>268.72300000000001</v>
      </c>
      <c r="CC25" s="16">
        <v>261.94099999999997</v>
      </c>
      <c r="CD25" s="16"/>
      <c r="CE25" s="59"/>
      <c r="CF25" s="59"/>
      <c r="CG25" s="59"/>
      <c r="CH25" s="59"/>
      <c r="CI25" s="59"/>
      <c r="CK25" s="21">
        <v>1981</v>
      </c>
      <c r="CL25" s="24">
        <v>453.76400000000001</v>
      </c>
      <c r="CM25" s="24">
        <v>331.93599999999998</v>
      </c>
      <c r="CN25" s="24">
        <v>305.85199999999998</v>
      </c>
      <c r="CO25" s="24">
        <v>268.72300000000001</v>
      </c>
      <c r="CP25" s="24">
        <v>261.94099999999997</v>
      </c>
      <c r="CQ25" s="24"/>
      <c r="CR25" s="5"/>
      <c r="CS25" s="5"/>
      <c r="CT25" s="5"/>
      <c r="CU25" s="5"/>
      <c r="CV25" s="5"/>
      <c r="CX25" s="11">
        <v>1981</v>
      </c>
      <c r="CY25" s="13">
        <v>6.5424934547474018</v>
      </c>
      <c r="CZ25" s="13">
        <v>7.0613521883736627</v>
      </c>
      <c r="DA25" s="13">
        <v>7.8893745994794866</v>
      </c>
      <c r="DB25" s="13">
        <v>8.022342709779215</v>
      </c>
      <c r="DC25" s="13">
        <v>11.651387144433288</v>
      </c>
      <c r="DD25" s="13"/>
      <c r="DE25" s="66"/>
      <c r="DF25" s="66"/>
      <c r="DG25" s="66"/>
      <c r="DH25" s="66"/>
      <c r="DI25" s="66"/>
      <c r="DK25" s="15">
        <v>1981</v>
      </c>
      <c r="DL25" s="16">
        <f t="shared" si="21"/>
        <v>2968.748</v>
      </c>
      <c r="DM25" s="16">
        <f t="shared" si="22"/>
        <v>2343.9169999999999</v>
      </c>
      <c r="DN25" s="16">
        <f t="shared" si="23"/>
        <v>2412.9809999999998</v>
      </c>
      <c r="DO25" s="16">
        <f t="shared" si="24"/>
        <v>2155.788</v>
      </c>
      <c r="DP25" s="16">
        <f t="shared" si="25"/>
        <v>3051.9759999999997</v>
      </c>
      <c r="DQ25" s="16">
        <f t="shared" si="26"/>
        <v>0</v>
      </c>
      <c r="DR25" s="16">
        <f t="shared" si="27"/>
        <v>0</v>
      </c>
      <c r="DS25" s="16">
        <f t="shared" si="28"/>
        <v>0</v>
      </c>
      <c r="DT25" s="16">
        <f t="shared" si="29"/>
        <v>0</v>
      </c>
      <c r="DU25" s="16">
        <f t="shared" si="30"/>
        <v>0</v>
      </c>
      <c r="DV25" s="16">
        <f t="shared" si="31"/>
        <v>0</v>
      </c>
      <c r="DW25" s="15">
        <f t="shared" si="32"/>
        <v>12933410</v>
      </c>
      <c r="DX25" s="15">
        <v>60605624</v>
      </c>
      <c r="DY25" s="15">
        <f t="shared" si="33"/>
        <v>73539034</v>
      </c>
      <c r="EA25" s="21">
        <v>1981</v>
      </c>
      <c r="EB25" s="24">
        <f t="shared" si="34"/>
        <v>2968.748</v>
      </c>
      <c r="EC25" s="24">
        <f t="shared" si="35"/>
        <v>2343.9169999999999</v>
      </c>
      <c r="ED25" s="24">
        <f t="shared" si="36"/>
        <v>2412.9809999999998</v>
      </c>
      <c r="EE25" s="24">
        <f t="shared" si="37"/>
        <v>2155.788</v>
      </c>
      <c r="EF25" s="24">
        <f t="shared" si="38"/>
        <v>3051.9759999999997</v>
      </c>
      <c r="EG25" s="24">
        <f t="shared" si="39"/>
        <v>0</v>
      </c>
      <c r="EH25" s="24">
        <f t="shared" si="40"/>
        <v>0</v>
      </c>
      <c r="EI25" s="24">
        <f t="shared" si="41"/>
        <v>0</v>
      </c>
      <c r="EJ25" s="24">
        <f t="shared" si="42"/>
        <v>0</v>
      </c>
      <c r="EK25" s="24">
        <f t="shared" si="43"/>
        <v>0</v>
      </c>
      <c r="EL25" s="24">
        <f t="shared" si="44"/>
        <v>0</v>
      </c>
      <c r="EM25" s="21">
        <f t="shared" si="45"/>
        <v>12933410</v>
      </c>
      <c r="EN25" s="21">
        <v>60605624</v>
      </c>
      <c r="EO25" s="21">
        <f t="shared" si="46"/>
        <v>73539034</v>
      </c>
      <c r="EQ25" s="11">
        <v>1981</v>
      </c>
      <c r="ER25" s="11">
        <f t="shared" si="47"/>
        <v>2968.748</v>
      </c>
      <c r="ES25" s="11">
        <f t="shared" si="48"/>
        <v>2343.9169999999999</v>
      </c>
      <c r="ET25" s="11">
        <f t="shared" si="49"/>
        <v>2412.9809999999998</v>
      </c>
      <c r="EU25" s="11">
        <f t="shared" si="50"/>
        <v>2155.788</v>
      </c>
      <c r="EV25" s="11">
        <f t="shared" si="51"/>
        <v>3051.9759999999997</v>
      </c>
      <c r="EW25" s="11">
        <f t="shared" si="52"/>
        <v>0</v>
      </c>
      <c r="EX25" s="11">
        <f t="shared" si="53"/>
        <v>0</v>
      </c>
      <c r="EY25" s="11">
        <f t="shared" si="54"/>
        <v>0</v>
      </c>
      <c r="EZ25" s="11">
        <f t="shared" si="55"/>
        <v>0</v>
      </c>
      <c r="FA25" s="11">
        <f t="shared" si="56"/>
        <v>0</v>
      </c>
      <c r="FB25" s="11">
        <f t="shared" si="57"/>
        <v>0</v>
      </c>
      <c r="FC25" s="11">
        <f t="shared" si="58"/>
        <v>12933410</v>
      </c>
      <c r="FD25" s="11">
        <v>60605624</v>
      </c>
      <c r="FE25" s="11">
        <f t="shared" si="59"/>
        <v>73539034</v>
      </c>
    </row>
    <row r="26" spans="1:161" x14ac:dyDescent="0.3">
      <c r="A26" s="15">
        <v>1982</v>
      </c>
      <c r="B26" s="16">
        <v>448.74700000000001</v>
      </c>
      <c r="C26" s="16">
        <v>351.10199999999998</v>
      </c>
      <c r="D26" s="16">
        <v>280.428</v>
      </c>
      <c r="E26" s="16">
        <v>264.77</v>
      </c>
      <c r="F26" s="16">
        <v>233.22399999999999</v>
      </c>
      <c r="G26" s="16">
        <v>233.00399999999999</v>
      </c>
      <c r="H26" s="59"/>
      <c r="I26" s="59"/>
      <c r="J26" s="59"/>
      <c r="K26" s="59"/>
      <c r="L26" s="59"/>
      <c r="M26" s="16"/>
      <c r="N26" s="15"/>
      <c r="O26" s="15"/>
      <c r="P26" s="15"/>
      <c r="R26" s="21">
        <v>1982</v>
      </c>
      <c r="S26" s="23">
        <v>0.8169192998046152</v>
      </c>
      <c r="T26" s="23">
        <v>0.86343731724364181</v>
      </c>
      <c r="U26" s="23">
        <v>0.88283793481134565</v>
      </c>
      <c r="V26" s="23">
        <v>0.89284550475079749</v>
      </c>
      <c r="W26" s="23">
        <v>0.91051655765566253</v>
      </c>
      <c r="X26" s="60"/>
      <c r="Y26" s="60"/>
      <c r="Z26" s="60"/>
      <c r="AA26" s="60"/>
      <c r="AB26" s="60"/>
      <c r="AC26" s="60"/>
      <c r="AD26" s="21"/>
      <c r="AE26" s="21"/>
      <c r="AF26" s="21"/>
      <c r="AH26" s="11">
        <v>1982</v>
      </c>
      <c r="AI26" s="13">
        <v>6.7405152569265088</v>
      </c>
      <c r="AJ26" s="13">
        <v>8.4705213869473823</v>
      </c>
      <c r="AK26" s="13">
        <v>7.6157266749397348</v>
      </c>
      <c r="AL26" s="13">
        <v>8.303312308796313</v>
      </c>
      <c r="AM26" s="13">
        <v>9.0666312214866398</v>
      </c>
      <c r="AN26" s="13">
        <v>12.976463923366122</v>
      </c>
      <c r="AO26" s="66"/>
      <c r="AP26" s="66"/>
      <c r="AQ26" s="66"/>
      <c r="AR26" s="66"/>
      <c r="AS26" s="66"/>
      <c r="AT26" s="66"/>
      <c r="AU26" s="13"/>
      <c r="AV26" s="13"/>
      <c r="AW26" s="13"/>
      <c r="AY26" s="36">
        <v>1982</v>
      </c>
      <c r="AZ26" s="37">
        <f t="shared" si="14"/>
        <v>3024.7860000000001</v>
      </c>
      <c r="BA26" s="37">
        <f t="shared" si="15"/>
        <v>2974.0169999999998</v>
      </c>
      <c r="BB26" s="37">
        <f t="shared" si="60"/>
        <v>2135.663</v>
      </c>
      <c r="BC26" s="37">
        <f t="shared" si="61"/>
        <v>2198.4679999999998</v>
      </c>
      <c r="BD26" s="37">
        <f t="shared" si="62"/>
        <v>2114.556</v>
      </c>
      <c r="BE26" s="37">
        <f t="shared" ref="BE26:BE74" si="63">AN26*G26</f>
        <v>3023.5679999999998</v>
      </c>
      <c r="BF26" s="37"/>
      <c r="BG26" s="37"/>
      <c r="BH26" s="37"/>
      <c r="BI26" s="37"/>
      <c r="BJ26" s="37"/>
      <c r="BK26" s="36">
        <f t="shared" si="16"/>
        <v>15471058</v>
      </c>
      <c r="BL26" s="36">
        <v>59011166</v>
      </c>
      <c r="BM26" s="38">
        <f t="shared" si="17"/>
        <v>74482224</v>
      </c>
      <c r="BN26" s="38">
        <v>74482224</v>
      </c>
      <c r="BO26" s="39">
        <f t="shared" si="18"/>
        <v>74482224</v>
      </c>
      <c r="BP26" s="39">
        <f t="shared" si="19"/>
        <v>74482224</v>
      </c>
      <c r="BQ26" s="39">
        <f t="shared" si="20"/>
        <v>74482224</v>
      </c>
      <c r="BR26" s="36"/>
      <c r="BS26" s="37">
        <v>5</v>
      </c>
      <c r="BT26" s="36"/>
      <c r="BU26" s="36"/>
      <c r="BV26" s="36"/>
      <c r="BX26" s="15">
        <v>1982</v>
      </c>
      <c r="BY26" s="16">
        <v>448.74700000000001</v>
      </c>
      <c r="BZ26" s="16">
        <v>351.10199999999998</v>
      </c>
      <c r="CA26" s="16">
        <v>280.428</v>
      </c>
      <c r="CB26" s="16">
        <v>264.77</v>
      </c>
      <c r="CC26" s="16">
        <v>233.22399999999999</v>
      </c>
      <c r="CD26" s="16">
        <v>233.00399999999999</v>
      </c>
      <c r="CE26" s="59"/>
      <c r="CF26" s="59"/>
      <c r="CG26" s="59"/>
      <c r="CH26" s="59"/>
      <c r="CI26" s="59"/>
      <c r="CK26" s="21">
        <v>1982</v>
      </c>
      <c r="CL26" s="24">
        <v>448.74700000000001</v>
      </c>
      <c r="CM26" s="24">
        <v>351.10199999999998</v>
      </c>
      <c r="CN26" s="24">
        <v>280.428</v>
      </c>
      <c r="CO26" s="24">
        <v>264.77</v>
      </c>
      <c r="CP26" s="24">
        <v>233.22399999999999</v>
      </c>
      <c r="CQ26" s="24">
        <v>233.00399999999999</v>
      </c>
      <c r="CR26" s="5"/>
      <c r="CS26" s="5"/>
      <c r="CT26" s="5"/>
      <c r="CU26" s="5"/>
      <c r="CV26" s="5"/>
      <c r="CX26" s="11">
        <v>1982</v>
      </c>
      <c r="CY26" s="13">
        <v>6.7405152569265088</v>
      </c>
      <c r="CZ26" s="13">
        <v>8.4705213869473823</v>
      </c>
      <c r="DA26" s="13">
        <v>7.6157266749397348</v>
      </c>
      <c r="DB26" s="13">
        <v>8.303312308796313</v>
      </c>
      <c r="DC26" s="13">
        <v>9.0666312214866398</v>
      </c>
      <c r="DD26" s="13">
        <v>12.976463923366122</v>
      </c>
      <c r="DE26" s="66"/>
      <c r="DF26" s="66"/>
      <c r="DG26" s="66"/>
      <c r="DH26" s="66"/>
      <c r="DI26" s="66"/>
      <c r="DK26" s="15">
        <v>1982</v>
      </c>
      <c r="DL26" s="16">
        <f t="shared" si="21"/>
        <v>3024.7860000000001</v>
      </c>
      <c r="DM26" s="16">
        <f t="shared" si="22"/>
        <v>2974.0169999999998</v>
      </c>
      <c r="DN26" s="16">
        <f t="shared" si="23"/>
        <v>2135.663</v>
      </c>
      <c r="DO26" s="16">
        <f t="shared" si="24"/>
        <v>2198.4679999999998</v>
      </c>
      <c r="DP26" s="16">
        <f t="shared" si="25"/>
        <v>2114.556</v>
      </c>
      <c r="DQ26" s="16">
        <f t="shared" si="26"/>
        <v>3023.5679999999998</v>
      </c>
      <c r="DR26" s="16">
        <f t="shared" si="27"/>
        <v>0</v>
      </c>
      <c r="DS26" s="16">
        <f t="shared" si="28"/>
        <v>0</v>
      </c>
      <c r="DT26" s="16">
        <f t="shared" si="29"/>
        <v>0</v>
      </c>
      <c r="DU26" s="16">
        <f t="shared" si="30"/>
        <v>0</v>
      </c>
      <c r="DV26" s="16">
        <f t="shared" si="31"/>
        <v>0</v>
      </c>
      <c r="DW26" s="15">
        <f t="shared" si="32"/>
        <v>15471058</v>
      </c>
      <c r="DX26" s="15">
        <v>59011166</v>
      </c>
      <c r="DY26" s="15">
        <f t="shared" si="33"/>
        <v>74482224</v>
      </c>
      <c r="EA26" s="21">
        <v>1982</v>
      </c>
      <c r="EB26" s="24">
        <f t="shared" si="34"/>
        <v>3024.7860000000001</v>
      </c>
      <c r="EC26" s="24">
        <f t="shared" si="35"/>
        <v>2974.0169999999998</v>
      </c>
      <c r="ED26" s="24">
        <f t="shared" si="36"/>
        <v>2135.663</v>
      </c>
      <c r="EE26" s="24">
        <f t="shared" si="37"/>
        <v>2198.4679999999998</v>
      </c>
      <c r="EF26" s="24">
        <f t="shared" si="38"/>
        <v>2114.556</v>
      </c>
      <c r="EG26" s="24">
        <f t="shared" si="39"/>
        <v>3023.5679999999998</v>
      </c>
      <c r="EH26" s="24">
        <f t="shared" si="40"/>
        <v>0</v>
      </c>
      <c r="EI26" s="24">
        <f t="shared" si="41"/>
        <v>0</v>
      </c>
      <c r="EJ26" s="24">
        <f t="shared" si="42"/>
        <v>0</v>
      </c>
      <c r="EK26" s="24">
        <f t="shared" si="43"/>
        <v>0</v>
      </c>
      <c r="EL26" s="24">
        <f t="shared" si="44"/>
        <v>0</v>
      </c>
      <c r="EM26" s="21">
        <f t="shared" si="45"/>
        <v>15471058</v>
      </c>
      <c r="EN26" s="21">
        <v>59011166</v>
      </c>
      <c r="EO26" s="21">
        <f t="shared" si="46"/>
        <v>74482224</v>
      </c>
      <c r="EQ26" s="11">
        <v>1982</v>
      </c>
      <c r="ER26" s="11">
        <f t="shared" si="47"/>
        <v>3024.7860000000001</v>
      </c>
      <c r="ES26" s="11">
        <f t="shared" si="48"/>
        <v>2974.0169999999998</v>
      </c>
      <c r="ET26" s="11">
        <f t="shared" si="49"/>
        <v>2135.663</v>
      </c>
      <c r="EU26" s="11">
        <f t="shared" si="50"/>
        <v>2198.4679999999998</v>
      </c>
      <c r="EV26" s="11">
        <f t="shared" si="51"/>
        <v>2114.556</v>
      </c>
      <c r="EW26" s="11">
        <f t="shared" si="52"/>
        <v>3023.5679999999998</v>
      </c>
      <c r="EX26" s="11">
        <f t="shared" si="53"/>
        <v>0</v>
      </c>
      <c r="EY26" s="11">
        <f t="shared" si="54"/>
        <v>0</v>
      </c>
      <c r="EZ26" s="11">
        <f t="shared" si="55"/>
        <v>0</v>
      </c>
      <c r="FA26" s="11">
        <f t="shared" si="56"/>
        <v>0</v>
      </c>
      <c r="FB26" s="11">
        <f t="shared" si="57"/>
        <v>0</v>
      </c>
      <c r="FC26" s="11">
        <f t="shared" si="58"/>
        <v>15471058</v>
      </c>
      <c r="FD26" s="11">
        <v>59011166</v>
      </c>
      <c r="FE26" s="11">
        <f t="shared" si="59"/>
        <v>74482224</v>
      </c>
    </row>
    <row r="27" spans="1:161" x14ac:dyDescent="0.3">
      <c r="A27" s="15">
        <v>1983</v>
      </c>
      <c r="B27" s="16">
        <v>433.66300000000001</v>
      </c>
      <c r="C27" s="16">
        <v>341.63299999999998</v>
      </c>
      <c r="D27" s="16">
        <v>298.31099999999998</v>
      </c>
      <c r="E27" s="16">
        <v>246.441</v>
      </c>
      <c r="F27" s="16">
        <v>237.18899999999999</v>
      </c>
      <c r="G27" s="16">
        <v>213.69900000000001</v>
      </c>
      <c r="H27" s="59"/>
      <c r="I27" s="59"/>
      <c r="J27" s="59"/>
      <c r="K27" s="59"/>
      <c r="L27" s="59"/>
      <c r="M27" s="16"/>
      <c r="N27" s="15"/>
      <c r="O27" s="15"/>
      <c r="P27" s="15"/>
      <c r="R27" s="21">
        <v>1983</v>
      </c>
      <c r="S27" s="23">
        <v>0.7736196444722846</v>
      </c>
      <c r="T27" s="23">
        <v>0.8424261927987905</v>
      </c>
      <c r="U27" s="23">
        <v>0.86873937372433974</v>
      </c>
      <c r="V27" s="23">
        <v>0.88464473478955596</v>
      </c>
      <c r="W27" s="23">
        <v>0.89994337830312732</v>
      </c>
      <c r="X27" s="60"/>
      <c r="Y27" s="60"/>
      <c r="Z27" s="60"/>
      <c r="AA27" s="60"/>
      <c r="AB27" s="60"/>
      <c r="AC27" s="60"/>
      <c r="AD27" s="21"/>
      <c r="AE27" s="21"/>
      <c r="AF27" s="21"/>
      <c r="AH27" s="11">
        <v>1983</v>
      </c>
      <c r="AI27" s="13">
        <v>5.7709926832586591</v>
      </c>
      <c r="AJ27" s="13">
        <v>7.6609987911003916</v>
      </c>
      <c r="AK27" s="13">
        <v>8.6959750059501655</v>
      </c>
      <c r="AL27" s="13">
        <v>7.8990874083452027</v>
      </c>
      <c r="AM27" s="13">
        <v>8.6613755275328952</v>
      </c>
      <c r="AN27" s="13">
        <v>8.7251040014225616</v>
      </c>
      <c r="AO27" s="66"/>
      <c r="AP27" s="66"/>
      <c r="AQ27" s="66"/>
      <c r="AR27" s="66"/>
      <c r="AS27" s="66"/>
      <c r="AT27" s="66"/>
      <c r="AU27" s="13"/>
      <c r="AV27" s="13"/>
      <c r="AW27" s="13"/>
      <c r="AY27" s="36">
        <v>1983</v>
      </c>
      <c r="AZ27" s="37">
        <f t="shared" si="14"/>
        <v>2502.6660000000002</v>
      </c>
      <c r="BA27" s="37">
        <f t="shared" si="15"/>
        <v>2617.25</v>
      </c>
      <c r="BB27" s="37">
        <f t="shared" si="60"/>
        <v>2594.1049999999996</v>
      </c>
      <c r="BC27" s="37">
        <f t="shared" si="61"/>
        <v>1946.6590000000001</v>
      </c>
      <c r="BD27" s="37">
        <f t="shared" si="62"/>
        <v>2054.3829999999998</v>
      </c>
      <c r="BE27" s="37">
        <f t="shared" si="63"/>
        <v>1864.546</v>
      </c>
      <c r="BF27" s="37"/>
      <c r="BG27" s="37"/>
      <c r="BH27" s="37"/>
      <c r="BI27" s="37"/>
      <c r="BJ27" s="37"/>
      <c r="BK27" s="36">
        <f t="shared" si="16"/>
        <v>13579609</v>
      </c>
      <c r="BL27" s="36">
        <v>56273616</v>
      </c>
      <c r="BM27" s="38">
        <f t="shared" si="17"/>
        <v>69853225</v>
      </c>
      <c r="BN27" s="38">
        <v>69853225</v>
      </c>
      <c r="BO27" s="39">
        <f t="shared" si="18"/>
        <v>69853225</v>
      </c>
      <c r="BP27" s="39">
        <f t="shared" si="19"/>
        <v>69853225</v>
      </c>
      <c r="BQ27" s="39">
        <f t="shared" si="20"/>
        <v>69853225</v>
      </c>
      <c r="BR27" s="36"/>
      <c r="BS27" s="37">
        <v>6</v>
      </c>
      <c r="BT27" s="36"/>
      <c r="BU27" s="36"/>
      <c r="BV27" s="36"/>
      <c r="BX27" s="15">
        <v>1983</v>
      </c>
      <c r="BY27" s="16">
        <v>433.66300000000001</v>
      </c>
      <c r="BZ27" s="16">
        <v>341.63299999999998</v>
      </c>
      <c r="CA27" s="16">
        <v>298.31099999999998</v>
      </c>
      <c r="CB27" s="16">
        <v>246.441</v>
      </c>
      <c r="CC27" s="16">
        <v>237.18899999999999</v>
      </c>
      <c r="CD27" s="16">
        <v>213.69900000000001</v>
      </c>
      <c r="CE27" s="59"/>
      <c r="CF27" s="59"/>
      <c r="CG27" s="59"/>
      <c r="CH27" s="59"/>
      <c r="CI27" s="59"/>
      <c r="CK27" s="21">
        <v>1983</v>
      </c>
      <c r="CL27" s="24">
        <v>433.66300000000001</v>
      </c>
      <c r="CM27" s="24">
        <v>341.63299999999998</v>
      </c>
      <c r="CN27" s="24">
        <v>298.31099999999998</v>
      </c>
      <c r="CO27" s="24">
        <v>246.441</v>
      </c>
      <c r="CP27" s="24">
        <v>237.18899999999999</v>
      </c>
      <c r="CQ27" s="24">
        <v>213.69900000000001</v>
      </c>
      <c r="CR27" s="5"/>
      <c r="CS27" s="5"/>
      <c r="CT27" s="5"/>
      <c r="CU27" s="5"/>
      <c r="CV27" s="5"/>
      <c r="CX27" s="11">
        <v>1983</v>
      </c>
      <c r="CY27" s="13">
        <v>5.7709926832586591</v>
      </c>
      <c r="CZ27" s="13">
        <v>7.6609987911003916</v>
      </c>
      <c r="DA27" s="13">
        <v>8.6959750059501655</v>
      </c>
      <c r="DB27" s="13">
        <v>7.8990874083452027</v>
      </c>
      <c r="DC27" s="13">
        <v>8.6613755275328952</v>
      </c>
      <c r="DD27" s="13">
        <v>8.7251040014225616</v>
      </c>
      <c r="DE27" s="66"/>
      <c r="DF27" s="66"/>
      <c r="DG27" s="66"/>
      <c r="DH27" s="66"/>
      <c r="DI27" s="66"/>
      <c r="DK27" s="15">
        <v>1983</v>
      </c>
      <c r="DL27" s="16">
        <f t="shared" si="21"/>
        <v>2502.6660000000002</v>
      </c>
      <c r="DM27" s="16">
        <f t="shared" si="22"/>
        <v>2617.25</v>
      </c>
      <c r="DN27" s="16">
        <f t="shared" si="23"/>
        <v>2594.1049999999996</v>
      </c>
      <c r="DO27" s="16">
        <f t="shared" si="24"/>
        <v>1946.6590000000001</v>
      </c>
      <c r="DP27" s="16">
        <f t="shared" si="25"/>
        <v>2054.3829999999998</v>
      </c>
      <c r="DQ27" s="16">
        <f t="shared" si="26"/>
        <v>1864.546</v>
      </c>
      <c r="DR27" s="16">
        <f t="shared" si="27"/>
        <v>0</v>
      </c>
      <c r="DS27" s="16">
        <f t="shared" si="28"/>
        <v>0</v>
      </c>
      <c r="DT27" s="16">
        <f t="shared" si="29"/>
        <v>0</v>
      </c>
      <c r="DU27" s="16">
        <f t="shared" si="30"/>
        <v>0</v>
      </c>
      <c r="DV27" s="16">
        <f t="shared" si="31"/>
        <v>0</v>
      </c>
      <c r="DW27" s="15">
        <f t="shared" si="32"/>
        <v>13579609</v>
      </c>
      <c r="DX27" s="15">
        <v>56273616</v>
      </c>
      <c r="DY27" s="15">
        <f t="shared" si="33"/>
        <v>69853225</v>
      </c>
      <c r="EA27" s="21">
        <v>1983</v>
      </c>
      <c r="EB27" s="24">
        <f t="shared" si="34"/>
        <v>2502.6660000000002</v>
      </c>
      <c r="EC27" s="24">
        <f t="shared" si="35"/>
        <v>2617.25</v>
      </c>
      <c r="ED27" s="24">
        <f t="shared" si="36"/>
        <v>2594.1049999999996</v>
      </c>
      <c r="EE27" s="24">
        <f t="shared" si="37"/>
        <v>1946.6590000000001</v>
      </c>
      <c r="EF27" s="24">
        <f t="shared" si="38"/>
        <v>2054.3829999999998</v>
      </c>
      <c r="EG27" s="24">
        <f t="shared" si="39"/>
        <v>1864.546</v>
      </c>
      <c r="EH27" s="24">
        <f t="shared" si="40"/>
        <v>0</v>
      </c>
      <c r="EI27" s="24">
        <f t="shared" si="41"/>
        <v>0</v>
      </c>
      <c r="EJ27" s="24">
        <f t="shared" si="42"/>
        <v>0</v>
      </c>
      <c r="EK27" s="24">
        <f t="shared" si="43"/>
        <v>0</v>
      </c>
      <c r="EL27" s="24">
        <f t="shared" si="44"/>
        <v>0</v>
      </c>
      <c r="EM27" s="21">
        <f t="shared" si="45"/>
        <v>13579609</v>
      </c>
      <c r="EN27" s="21">
        <v>56273616</v>
      </c>
      <c r="EO27" s="21">
        <f t="shared" si="46"/>
        <v>69853225</v>
      </c>
      <c r="EQ27" s="11">
        <v>1983</v>
      </c>
      <c r="ER27" s="11">
        <f t="shared" si="47"/>
        <v>2502.6660000000002</v>
      </c>
      <c r="ES27" s="11">
        <f t="shared" si="48"/>
        <v>2617.25</v>
      </c>
      <c r="ET27" s="11">
        <f t="shared" si="49"/>
        <v>2594.1049999999996</v>
      </c>
      <c r="EU27" s="11">
        <f t="shared" si="50"/>
        <v>1946.6590000000001</v>
      </c>
      <c r="EV27" s="11">
        <f t="shared" si="51"/>
        <v>2054.3829999999998</v>
      </c>
      <c r="EW27" s="11">
        <f t="shared" si="52"/>
        <v>1864.546</v>
      </c>
      <c r="EX27" s="11">
        <f t="shared" si="53"/>
        <v>0</v>
      </c>
      <c r="EY27" s="11">
        <f t="shared" si="54"/>
        <v>0</v>
      </c>
      <c r="EZ27" s="11">
        <f t="shared" si="55"/>
        <v>0</v>
      </c>
      <c r="FA27" s="11">
        <f t="shared" si="56"/>
        <v>0</v>
      </c>
      <c r="FB27" s="11">
        <f t="shared" si="57"/>
        <v>0</v>
      </c>
      <c r="FC27" s="11">
        <f t="shared" si="58"/>
        <v>13579609</v>
      </c>
      <c r="FD27" s="11">
        <v>56273616</v>
      </c>
      <c r="FE27" s="11">
        <f t="shared" si="59"/>
        <v>69853225</v>
      </c>
    </row>
    <row r="28" spans="1:161" x14ac:dyDescent="0.3">
      <c r="A28" s="15">
        <v>1984</v>
      </c>
      <c r="B28" s="16">
        <v>503.13400000000001</v>
      </c>
      <c r="C28" s="16">
        <v>337.82</v>
      </c>
      <c r="D28" s="16">
        <v>289.63400000000001</v>
      </c>
      <c r="E28" s="16">
        <v>263.14499999999998</v>
      </c>
      <c r="F28" s="16">
        <v>222.93299999999999</v>
      </c>
      <c r="G28" s="16">
        <v>216.74600000000001</v>
      </c>
      <c r="H28" s="59"/>
      <c r="I28" s="59"/>
      <c r="J28" s="59"/>
      <c r="K28" s="59"/>
      <c r="L28" s="59"/>
      <c r="M28" s="16"/>
      <c r="N28" s="15"/>
      <c r="O28" s="15"/>
      <c r="P28" s="15"/>
      <c r="R28" s="21">
        <v>1984</v>
      </c>
      <c r="S28" s="23">
        <v>0.8040850156888284</v>
      </c>
      <c r="T28" s="23">
        <v>0.84751099663713514</v>
      </c>
      <c r="U28" s="23">
        <v>0.87704497520378499</v>
      </c>
      <c r="V28" s="23">
        <v>0.89386497288422984</v>
      </c>
      <c r="W28" s="23">
        <v>0.9026925525730578</v>
      </c>
      <c r="X28" s="60"/>
      <c r="Y28" s="60"/>
      <c r="Z28" s="60"/>
      <c r="AA28" s="60"/>
      <c r="AB28" s="60"/>
      <c r="AC28" s="60"/>
      <c r="AD28" s="21"/>
      <c r="AE28" s="21"/>
      <c r="AF28" s="21"/>
      <c r="AH28" s="11">
        <v>1984</v>
      </c>
      <c r="AI28" s="13">
        <v>5.5606160585450395</v>
      </c>
      <c r="AJ28" s="13">
        <v>7.6937599905275</v>
      </c>
      <c r="AK28" s="13">
        <v>8.8472313333379375</v>
      </c>
      <c r="AL28" s="13">
        <v>9.9721522354595376</v>
      </c>
      <c r="AM28" s="13">
        <v>8.8777525086012385</v>
      </c>
      <c r="AN28" s="13">
        <v>9.3891513568877851</v>
      </c>
      <c r="AO28" s="66"/>
      <c r="AP28" s="66"/>
      <c r="AQ28" s="66"/>
      <c r="AR28" s="66"/>
      <c r="AS28" s="66"/>
      <c r="AT28" s="66"/>
      <c r="AU28" s="13"/>
      <c r="AV28" s="13"/>
      <c r="AW28" s="13"/>
      <c r="AY28" s="36">
        <v>1984</v>
      </c>
      <c r="AZ28" s="37">
        <f t="shared" si="14"/>
        <v>2797.7350000000001</v>
      </c>
      <c r="BA28" s="37">
        <f t="shared" si="15"/>
        <v>2599.1060000000002</v>
      </c>
      <c r="BB28" s="37">
        <f t="shared" si="60"/>
        <v>2562.4590000000003</v>
      </c>
      <c r="BC28" s="37">
        <f t="shared" si="61"/>
        <v>2624.1219999999998</v>
      </c>
      <c r="BD28" s="37">
        <f t="shared" si="62"/>
        <v>1979.1439999999998</v>
      </c>
      <c r="BE28" s="37">
        <f t="shared" si="63"/>
        <v>2035.0609999999999</v>
      </c>
      <c r="BF28" s="37"/>
      <c r="BG28" s="37"/>
      <c r="BH28" s="37"/>
      <c r="BI28" s="37"/>
      <c r="BJ28" s="37"/>
      <c r="BK28" s="36">
        <f t="shared" si="16"/>
        <v>14597627</v>
      </c>
      <c r="BL28" s="36">
        <v>57950055</v>
      </c>
      <c r="BM28" s="38">
        <f t="shared" si="17"/>
        <v>72547682</v>
      </c>
      <c r="BN28" s="38">
        <v>72547682</v>
      </c>
      <c r="BO28" s="39">
        <f t="shared" si="18"/>
        <v>72547682</v>
      </c>
      <c r="BP28" s="39">
        <f t="shared" si="19"/>
        <v>72547682</v>
      </c>
      <c r="BQ28" s="39">
        <f t="shared" si="20"/>
        <v>72547682</v>
      </c>
      <c r="BR28" s="36"/>
      <c r="BS28" s="37">
        <v>7</v>
      </c>
      <c r="BT28" s="36"/>
      <c r="BU28" s="36"/>
      <c r="BV28" s="36"/>
      <c r="BX28" s="15">
        <v>1984</v>
      </c>
      <c r="BY28" s="16">
        <v>503.13400000000001</v>
      </c>
      <c r="BZ28" s="16">
        <v>337.82</v>
      </c>
      <c r="CA28" s="16">
        <v>289.63400000000001</v>
      </c>
      <c r="CB28" s="16">
        <v>263.14499999999998</v>
      </c>
      <c r="CC28" s="16">
        <v>222.93299999999999</v>
      </c>
      <c r="CD28" s="16">
        <v>216.74600000000001</v>
      </c>
      <c r="CE28" s="59"/>
      <c r="CF28" s="59"/>
      <c r="CG28" s="59"/>
      <c r="CH28" s="59"/>
      <c r="CI28" s="59"/>
      <c r="CK28" s="21">
        <v>1984</v>
      </c>
      <c r="CL28" s="24">
        <v>503.13400000000001</v>
      </c>
      <c r="CM28" s="24">
        <v>337.82</v>
      </c>
      <c r="CN28" s="24">
        <v>289.63400000000001</v>
      </c>
      <c r="CO28" s="24">
        <v>263.14499999999998</v>
      </c>
      <c r="CP28" s="24">
        <v>222.93299999999999</v>
      </c>
      <c r="CQ28" s="24">
        <v>216.74600000000001</v>
      </c>
      <c r="CR28" s="5"/>
      <c r="CS28" s="5"/>
      <c r="CT28" s="5"/>
      <c r="CU28" s="5"/>
      <c r="CV28" s="5"/>
      <c r="CX28" s="11">
        <v>1984</v>
      </c>
      <c r="CY28" s="13">
        <v>5.5606160585450395</v>
      </c>
      <c r="CZ28" s="13">
        <v>7.6937599905275</v>
      </c>
      <c r="DA28" s="13">
        <v>8.8472313333379375</v>
      </c>
      <c r="DB28" s="13">
        <v>9.9721522354595376</v>
      </c>
      <c r="DC28" s="13">
        <v>8.8777525086012385</v>
      </c>
      <c r="DD28" s="13">
        <v>9.3891513568877851</v>
      </c>
      <c r="DE28" s="66"/>
      <c r="DF28" s="66"/>
      <c r="DG28" s="66"/>
      <c r="DH28" s="66"/>
      <c r="DI28" s="66"/>
      <c r="DK28" s="15">
        <v>1984</v>
      </c>
      <c r="DL28" s="16">
        <f t="shared" si="21"/>
        <v>2797.7350000000001</v>
      </c>
      <c r="DM28" s="16">
        <f t="shared" si="22"/>
        <v>2599.1060000000002</v>
      </c>
      <c r="DN28" s="16">
        <f t="shared" si="23"/>
        <v>2562.4590000000003</v>
      </c>
      <c r="DO28" s="16">
        <f t="shared" si="24"/>
        <v>2624.1219999999998</v>
      </c>
      <c r="DP28" s="16">
        <f t="shared" si="25"/>
        <v>1979.1439999999998</v>
      </c>
      <c r="DQ28" s="16">
        <f t="shared" si="26"/>
        <v>2035.0609999999999</v>
      </c>
      <c r="DR28" s="16">
        <f t="shared" si="27"/>
        <v>0</v>
      </c>
      <c r="DS28" s="16">
        <f t="shared" si="28"/>
        <v>0</v>
      </c>
      <c r="DT28" s="16">
        <f t="shared" si="29"/>
        <v>0</v>
      </c>
      <c r="DU28" s="16">
        <f t="shared" si="30"/>
        <v>0</v>
      </c>
      <c r="DV28" s="16">
        <f t="shared" si="31"/>
        <v>0</v>
      </c>
      <c r="DW28" s="15">
        <f t="shared" si="32"/>
        <v>14597627</v>
      </c>
      <c r="DX28" s="15">
        <v>57950055</v>
      </c>
      <c r="DY28" s="15">
        <f t="shared" si="33"/>
        <v>72547682</v>
      </c>
      <c r="EA28" s="21">
        <v>1984</v>
      </c>
      <c r="EB28" s="24">
        <f t="shared" si="34"/>
        <v>2797.7350000000001</v>
      </c>
      <c r="EC28" s="24">
        <f t="shared" si="35"/>
        <v>2599.1060000000002</v>
      </c>
      <c r="ED28" s="24">
        <f t="shared" si="36"/>
        <v>2562.4590000000003</v>
      </c>
      <c r="EE28" s="24">
        <f t="shared" si="37"/>
        <v>2624.1219999999998</v>
      </c>
      <c r="EF28" s="24">
        <f t="shared" si="38"/>
        <v>1979.1439999999998</v>
      </c>
      <c r="EG28" s="24">
        <f t="shared" si="39"/>
        <v>2035.0609999999999</v>
      </c>
      <c r="EH28" s="24">
        <f t="shared" si="40"/>
        <v>0</v>
      </c>
      <c r="EI28" s="24">
        <f t="shared" si="41"/>
        <v>0</v>
      </c>
      <c r="EJ28" s="24">
        <f t="shared" si="42"/>
        <v>0</v>
      </c>
      <c r="EK28" s="24">
        <f t="shared" si="43"/>
        <v>0</v>
      </c>
      <c r="EL28" s="24">
        <f t="shared" si="44"/>
        <v>0</v>
      </c>
      <c r="EM28" s="21">
        <f t="shared" si="45"/>
        <v>14597627</v>
      </c>
      <c r="EN28" s="21">
        <v>57950055</v>
      </c>
      <c r="EO28" s="21">
        <f t="shared" si="46"/>
        <v>72547682</v>
      </c>
      <c r="EQ28" s="11">
        <v>1984</v>
      </c>
      <c r="ER28" s="11">
        <f t="shared" si="47"/>
        <v>2797.7350000000001</v>
      </c>
      <c r="ES28" s="11">
        <f t="shared" si="48"/>
        <v>2599.1060000000002</v>
      </c>
      <c r="ET28" s="11">
        <f t="shared" si="49"/>
        <v>2562.4590000000003</v>
      </c>
      <c r="EU28" s="11">
        <f t="shared" si="50"/>
        <v>2624.1219999999998</v>
      </c>
      <c r="EV28" s="11">
        <f t="shared" si="51"/>
        <v>1979.1439999999998</v>
      </c>
      <c r="EW28" s="11">
        <f t="shared" si="52"/>
        <v>2035.0609999999999</v>
      </c>
      <c r="EX28" s="11">
        <f t="shared" si="53"/>
        <v>0</v>
      </c>
      <c r="EY28" s="11">
        <f t="shared" si="54"/>
        <v>0</v>
      </c>
      <c r="EZ28" s="11">
        <f t="shared" si="55"/>
        <v>0</v>
      </c>
      <c r="FA28" s="11">
        <f t="shared" si="56"/>
        <v>0</v>
      </c>
      <c r="FB28" s="11">
        <f t="shared" si="57"/>
        <v>0</v>
      </c>
      <c r="FC28" s="11">
        <f t="shared" si="58"/>
        <v>14597627</v>
      </c>
      <c r="FD28" s="11">
        <v>57950055</v>
      </c>
      <c r="FE28" s="11">
        <f t="shared" si="59"/>
        <v>72547682</v>
      </c>
    </row>
    <row r="29" spans="1:161" x14ac:dyDescent="0.3">
      <c r="A29" s="15">
        <v>1985</v>
      </c>
      <c r="B29" s="16">
        <v>509.01600000000002</v>
      </c>
      <c r="C29" s="16">
        <v>406.017</v>
      </c>
      <c r="D29" s="16">
        <v>286.13799999999998</v>
      </c>
      <c r="E29" s="16">
        <v>254.517</v>
      </c>
      <c r="F29" s="16">
        <v>236.78100000000001</v>
      </c>
      <c r="G29" s="16">
        <v>203.09399999999999</v>
      </c>
      <c r="H29" s="59"/>
      <c r="I29" s="59"/>
      <c r="J29" s="59"/>
      <c r="K29" s="59"/>
      <c r="L29" s="59"/>
      <c r="M29" s="16"/>
      <c r="N29" s="15"/>
      <c r="O29" s="15"/>
      <c r="P29" s="15"/>
      <c r="R29" s="21">
        <v>1985</v>
      </c>
      <c r="S29" s="23">
        <v>0.83544531386616816</v>
      </c>
      <c r="T29" s="23">
        <v>0.84088796315064762</v>
      </c>
      <c r="U29" s="23">
        <v>0.86860209730587745</v>
      </c>
      <c r="V29" s="23">
        <v>0.89192122678762231</v>
      </c>
      <c r="W29" s="23">
        <v>0.89865776438496459</v>
      </c>
      <c r="X29" s="60"/>
      <c r="Y29" s="60"/>
      <c r="Z29" s="60"/>
      <c r="AA29" s="60"/>
      <c r="AB29" s="60"/>
      <c r="AC29" s="60"/>
      <c r="AD29" s="21"/>
      <c r="AE29" s="21"/>
      <c r="AF29" s="21"/>
      <c r="AH29" s="11">
        <v>1985</v>
      </c>
      <c r="AI29" s="13">
        <v>5.7796140003457648</v>
      </c>
      <c r="AJ29" s="13">
        <v>7.8032939507459051</v>
      </c>
      <c r="AK29" s="13">
        <v>8.8642438264054402</v>
      </c>
      <c r="AL29" s="13">
        <v>9.6537952278236823</v>
      </c>
      <c r="AM29" s="13">
        <v>10.955908624425101</v>
      </c>
      <c r="AN29" s="13">
        <v>9.5357617654879014</v>
      </c>
      <c r="AO29" s="66"/>
      <c r="AP29" s="66"/>
      <c r="AQ29" s="66"/>
      <c r="AR29" s="66"/>
      <c r="AS29" s="66"/>
      <c r="AT29" s="66"/>
      <c r="AU29" s="13"/>
      <c r="AV29" s="13"/>
      <c r="AW29" s="13"/>
      <c r="AY29" s="36">
        <v>1985</v>
      </c>
      <c r="AZ29" s="37">
        <f t="shared" si="14"/>
        <v>2941.9159999999997</v>
      </c>
      <c r="BA29" s="37">
        <f t="shared" si="15"/>
        <v>3168.27</v>
      </c>
      <c r="BB29" s="37">
        <f t="shared" si="60"/>
        <v>2536.3969999999995</v>
      </c>
      <c r="BC29" s="37">
        <f t="shared" si="61"/>
        <v>2457.0550000000003</v>
      </c>
      <c r="BD29" s="37">
        <f t="shared" si="62"/>
        <v>2594.1509999999998</v>
      </c>
      <c r="BE29" s="37">
        <f t="shared" si="63"/>
        <v>1936.6559999999997</v>
      </c>
      <c r="BF29" s="37"/>
      <c r="BG29" s="37"/>
      <c r="BH29" s="37"/>
      <c r="BI29" s="37"/>
      <c r="BJ29" s="37"/>
      <c r="BK29" s="36">
        <f t="shared" si="16"/>
        <v>15634444.999999998</v>
      </c>
      <c r="BL29" s="36">
        <v>58458090</v>
      </c>
      <c r="BM29" s="38">
        <f t="shared" si="17"/>
        <v>74092535</v>
      </c>
      <c r="BN29" s="38">
        <v>74092535</v>
      </c>
      <c r="BO29" s="39">
        <f t="shared" si="18"/>
        <v>74092535</v>
      </c>
      <c r="BP29" s="39">
        <f t="shared" si="19"/>
        <v>74092535</v>
      </c>
      <c r="BQ29" s="39">
        <f t="shared" si="20"/>
        <v>74092535</v>
      </c>
      <c r="BR29" s="36"/>
      <c r="BS29" s="37">
        <v>8</v>
      </c>
      <c r="BT29" s="36"/>
      <c r="BU29" s="36"/>
      <c r="BV29" s="36"/>
      <c r="BX29" s="15">
        <v>1985</v>
      </c>
      <c r="BY29" s="16">
        <v>509.01600000000002</v>
      </c>
      <c r="BZ29" s="16">
        <v>406.017</v>
      </c>
      <c r="CA29" s="16">
        <v>286.13799999999998</v>
      </c>
      <c r="CB29" s="16">
        <v>254.517</v>
      </c>
      <c r="CC29" s="16">
        <v>236.78100000000001</v>
      </c>
      <c r="CD29" s="16">
        <v>203.09399999999999</v>
      </c>
      <c r="CE29" s="59"/>
      <c r="CF29" s="59"/>
      <c r="CG29" s="59"/>
      <c r="CH29" s="59"/>
      <c r="CI29" s="59"/>
      <c r="CK29" s="21">
        <v>1985</v>
      </c>
      <c r="CL29" s="24">
        <v>509.01600000000002</v>
      </c>
      <c r="CM29" s="24">
        <v>406.017</v>
      </c>
      <c r="CN29" s="24">
        <v>286.13799999999998</v>
      </c>
      <c r="CO29" s="24">
        <v>254.517</v>
      </c>
      <c r="CP29" s="24">
        <v>236.78100000000001</v>
      </c>
      <c r="CQ29" s="24">
        <v>203.09399999999999</v>
      </c>
      <c r="CR29" s="5"/>
      <c r="CS29" s="5"/>
      <c r="CT29" s="5"/>
      <c r="CU29" s="5"/>
      <c r="CV29" s="5"/>
      <c r="CX29" s="11">
        <v>1985</v>
      </c>
      <c r="CY29" s="13">
        <v>5.7796140003457648</v>
      </c>
      <c r="CZ29" s="13">
        <v>7.8032939507459051</v>
      </c>
      <c r="DA29" s="13">
        <v>8.8642438264054402</v>
      </c>
      <c r="DB29" s="13">
        <v>9.6537952278236823</v>
      </c>
      <c r="DC29" s="13">
        <v>10.955908624425101</v>
      </c>
      <c r="DD29" s="13">
        <v>9.5357617654879014</v>
      </c>
      <c r="DE29" s="66"/>
      <c r="DF29" s="66"/>
      <c r="DG29" s="66"/>
      <c r="DH29" s="66"/>
      <c r="DI29" s="66"/>
      <c r="DK29" s="15">
        <v>1985</v>
      </c>
      <c r="DL29" s="16">
        <f t="shared" si="21"/>
        <v>2941.9159999999997</v>
      </c>
      <c r="DM29" s="16">
        <f t="shared" si="22"/>
        <v>3168.27</v>
      </c>
      <c r="DN29" s="16">
        <f t="shared" si="23"/>
        <v>2536.3969999999995</v>
      </c>
      <c r="DO29" s="16">
        <f t="shared" si="24"/>
        <v>2457.0550000000003</v>
      </c>
      <c r="DP29" s="16">
        <f t="shared" si="25"/>
        <v>2594.1509999999998</v>
      </c>
      <c r="DQ29" s="16">
        <f t="shared" si="26"/>
        <v>1936.6559999999997</v>
      </c>
      <c r="DR29" s="16">
        <f t="shared" si="27"/>
        <v>0</v>
      </c>
      <c r="DS29" s="16">
        <f t="shared" si="28"/>
        <v>0</v>
      </c>
      <c r="DT29" s="16">
        <f t="shared" si="29"/>
        <v>0</v>
      </c>
      <c r="DU29" s="16">
        <f t="shared" si="30"/>
        <v>0</v>
      </c>
      <c r="DV29" s="16">
        <f t="shared" si="31"/>
        <v>0</v>
      </c>
      <c r="DW29" s="15">
        <f t="shared" si="32"/>
        <v>15634444.999999998</v>
      </c>
      <c r="DX29" s="15">
        <v>58458090</v>
      </c>
      <c r="DY29" s="15">
        <f t="shared" si="33"/>
        <v>74092535</v>
      </c>
      <c r="EA29" s="21">
        <v>1985</v>
      </c>
      <c r="EB29" s="24">
        <f t="shared" si="34"/>
        <v>2941.9159999999997</v>
      </c>
      <c r="EC29" s="24">
        <f t="shared" si="35"/>
        <v>3168.27</v>
      </c>
      <c r="ED29" s="24">
        <f t="shared" si="36"/>
        <v>2536.3969999999995</v>
      </c>
      <c r="EE29" s="24">
        <f t="shared" si="37"/>
        <v>2457.0550000000003</v>
      </c>
      <c r="EF29" s="24">
        <f t="shared" si="38"/>
        <v>2594.1509999999998</v>
      </c>
      <c r="EG29" s="24">
        <f t="shared" si="39"/>
        <v>1936.6559999999997</v>
      </c>
      <c r="EH29" s="24">
        <f t="shared" si="40"/>
        <v>0</v>
      </c>
      <c r="EI29" s="24">
        <f t="shared" si="41"/>
        <v>0</v>
      </c>
      <c r="EJ29" s="24">
        <f t="shared" si="42"/>
        <v>0</v>
      </c>
      <c r="EK29" s="24">
        <f t="shared" si="43"/>
        <v>0</v>
      </c>
      <c r="EL29" s="24">
        <f t="shared" si="44"/>
        <v>0</v>
      </c>
      <c r="EM29" s="21">
        <f t="shared" si="45"/>
        <v>15634444.999999998</v>
      </c>
      <c r="EN29" s="21">
        <v>58458090</v>
      </c>
      <c r="EO29" s="21">
        <f t="shared" si="46"/>
        <v>74092535</v>
      </c>
      <c r="EQ29" s="11">
        <v>1985</v>
      </c>
      <c r="ER29" s="11">
        <f t="shared" si="47"/>
        <v>2941.9159999999997</v>
      </c>
      <c r="ES29" s="11">
        <f t="shared" si="48"/>
        <v>3168.27</v>
      </c>
      <c r="ET29" s="11">
        <f t="shared" si="49"/>
        <v>2536.3969999999995</v>
      </c>
      <c r="EU29" s="11">
        <f t="shared" si="50"/>
        <v>2457.0550000000003</v>
      </c>
      <c r="EV29" s="11">
        <f t="shared" si="51"/>
        <v>2594.1509999999998</v>
      </c>
      <c r="EW29" s="11">
        <f t="shared" si="52"/>
        <v>1936.6559999999997</v>
      </c>
      <c r="EX29" s="11">
        <f t="shared" si="53"/>
        <v>0</v>
      </c>
      <c r="EY29" s="11">
        <f t="shared" si="54"/>
        <v>0</v>
      </c>
      <c r="EZ29" s="11">
        <f t="shared" si="55"/>
        <v>0</v>
      </c>
      <c r="FA29" s="11">
        <f t="shared" si="56"/>
        <v>0</v>
      </c>
      <c r="FB29" s="11">
        <f t="shared" si="57"/>
        <v>0</v>
      </c>
      <c r="FC29" s="11">
        <f t="shared" si="58"/>
        <v>15634444.999999998</v>
      </c>
      <c r="FD29" s="11">
        <v>58458090</v>
      </c>
      <c r="FE29" s="11">
        <f t="shared" si="59"/>
        <v>74092535</v>
      </c>
    </row>
    <row r="30" spans="1:161" x14ac:dyDescent="0.3">
      <c r="A30" s="15">
        <v>1986</v>
      </c>
      <c r="B30" s="16">
        <v>522.20600000000002</v>
      </c>
      <c r="C30" s="16">
        <v>404.839</v>
      </c>
      <c r="D30" s="16">
        <v>346.26100000000002</v>
      </c>
      <c r="E30" s="16">
        <v>247.643</v>
      </c>
      <c r="F30" s="16">
        <v>225.41200000000001</v>
      </c>
      <c r="G30" s="16">
        <v>213.34299999999999</v>
      </c>
      <c r="H30" s="59"/>
      <c r="I30" s="59"/>
      <c r="J30" s="59"/>
      <c r="K30" s="59"/>
      <c r="L30" s="59"/>
      <c r="M30" s="16"/>
      <c r="N30" s="15"/>
      <c r="O30" s="15"/>
      <c r="P30" s="15"/>
      <c r="R30" s="21">
        <v>1986</v>
      </c>
      <c r="S30" s="23">
        <v>0.8139087390295896</v>
      </c>
      <c r="T30" s="23">
        <v>0.85170435018670887</v>
      </c>
      <c r="U30" s="23">
        <v>0.85983451985317572</v>
      </c>
      <c r="V30" s="23">
        <v>0.88165669973204619</v>
      </c>
      <c r="W30" s="23">
        <v>0.89651406420646562</v>
      </c>
      <c r="X30" s="60"/>
      <c r="Y30" s="60"/>
      <c r="Z30" s="60"/>
      <c r="AA30" s="60"/>
      <c r="AB30" s="60"/>
      <c r="AC30" s="60"/>
      <c r="AD30" s="21"/>
      <c r="AE30" s="21"/>
      <c r="AF30" s="21"/>
      <c r="AH30" s="11">
        <v>1986</v>
      </c>
      <c r="AI30" s="13">
        <v>6.0191591057934994</v>
      </c>
      <c r="AJ30" s="13">
        <v>7.9451856169983621</v>
      </c>
      <c r="AK30" s="13">
        <v>8.5312322207814333</v>
      </c>
      <c r="AL30" s="13">
        <v>9.7910056008043842</v>
      </c>
      <c r="AM30" s="13">
        <v>10.428468759427183</v>
      </c>
      <c r="AN30" s="13">
        <v>11.887814458407354</v>
      </c>
      <c r="AO30" s="66"/>
      <c r="AP30" s="66"/>
      <c r="AQ30" s="66"/>
      <c r="AR30" s="66"/>
      <c r="AS30" s="66"/>
      <c r="AT30" s="66"/>
      <c r="AU30" s="13"/>
      <c r="AV30" s="13"/>
      <c r="AW30" s="13"/>
      <c r="AY30" s="36">
        <v>1986</v>
      </c>
      <c r="AZ30" s="37">
        <f t="shared" si="14"/>
        <v>3143.2410000000004</v>
      </c>
      <c r="BA30" s="37">
        <f t="shared" si="15"/>
        <v>3216.5209999999997</v>
      </c>
      <c r="BB30" s="37">
        <f t="shared" si="60"/>
        <v>2954.0329999999999</v>
      </c>
      <c r="BC30" s="37">
        <f t="shared" si="61"/>
        <v>2424.674</v>
      </c>
      <c r="BD30" s="37">
        <f t="shared" si="62"/>
        <v>2350.7020000000002</v>
      </c>
      <c r="BE30" s="37">
        <f t="shared" si="63"/>
        <v>2536.1819999999998</v>
      </c>
      <c r="BF30" s="37"/>
      <c r="BG30" s="37"/>
      <c r="BH30" s="37"/>
      <c r="BI30" s="37"/>
      <c r="BJ30" s="37"/>
      <c r="BK30" s="36">
        <f t="shared" si="16"/>
        <v>16625353.000000004</v>
      </c>
      <c r="BL30" s="36">
        <v>58203333</v>
      </c>
      <c r="BM30" s="38">
        <f t="shared" si="17"/>
        <v>74828686</v>
      </c>
      <c r="BN30" s="38">
        <v>74828686</v>
      </c>
      <c r="BO30" s="39">
        <f t="shared" si="18"/>
        <v>74828686</v>
      </c>
      <c r="BP30" s="39">
        <f t="shared" si="19"/>
        <v>74828686</v>
      </c>
      <c r="BQ30" s="39">
        <f t="shared" si="20"/>
        <v>74828686</v>
      </c>
      <c r="BR30" s="36"/>
      <c r="BS30" s="37">
        <v>9</v>
      </c>
      <c r="BT30" s="36"/>
      <c r="BU30" s="36"/>
      <c r="BV30" s="36"/>
      <c r="BX30" s="15">
        <v>1986</v>
      </c>
      <c r="BY30" s="16">
        <v>522.20600000000002</v>
      </c>
      <c r="BZ30" s="16">
        <v>404.839</v>
      </c>
      <c r="CA30" s="16">
        <v>346.26100000000002</v>
      </c>
      <c r="CB30" s="16">
        <v>247.643</v>
      </c>
      <c r="CC30" s="16">
        <v>225.41200000000001</v>
      </c>
      <c r="CD30" s="16">
        <v>213.34299999999999</v>
      </c>
      <c r="CE30" s="59"/>
      <c r="CF30" s="59"/>
      <c r="CG30" s="59"/>
      <c r="CH30" s="59"/>
      <c r="CI30" s="59"/>
      <c r="CK30" s="21">
        <v>1986</v>
      </c>
      <c r="CL30" s="24">
        <v>522.20600000000002</v>
      </c>
      <c r="CM30" s="24">
        <v>404.839</v>
      </c>
      <c r="CN30" s="24">
        <v>346.26100000000002</v>
      </c>
      <c r="CO30" s="24">
        <v>247.643</v>
      </c>
      <c r="CP30" s="24">
        <v>225.41200000000001</v>
      </c>
      <c r="CQ30" s="24">
        <v>213.34299999999999</v>
      </c>
      <c r="CR30" s="5"/>
      <c r="CS30" s="5"/>
      <c r="CT30" s="5"/>
      <c r="CU30" s="5"/>
      <c r="CV30" s="5"/>
      <c r="CX30" s="11">
        <v>1986</v>
      </c>
      <c r="CY30" s="13">
        <v>6.0191591057934994</v>
      </c>
      <c r="CZ30" s="13">
        <v>7.9451856169983621</v>
      </c>
      <c r="DA30" s="13">
        <v>8.5312322207814333</v>
      </c>
      <c r="DB30" s="13">
        <v>9.7910056008043842</v>
      </c>
      <c r="DC30" s="13">
        <v>10.428468759427183</v>
      </c>
      <c r="DD30" s="13">
        <v>11.887814458407354</v>
      </c>
      <c r="DE30" s="66"/>
      <c r="DF30" s="66"/>
      <c r="DG30" s="66"/>
      <c r="DH30" s="66"/>
      <c r="DI30" s="66"/>
      <c r="DK30" s="15">
        <v>1986</v>
      </c>
      <c r="DL30" s="16">
        <f t="shared" si="21"/>
        <v>3143.2410000000004</v>
      </c>
      <c r="DM30" s="16">
        <f t="shared" si="22"/>
        <v>3216.5209999999997</v>
      </c>
      <c r="DN30" s="16">
        <f t="shared" si="23"/>
        <v>2954.0329999999999</v>
      </c>
      <c r="DO30" s="16">
        <f t="shared" si="24"/>
        <v>2424.674</v>
      </c>
      <c r="DP30" s="16">
        <f t="shared" si="25"/>
        <v>2350.7020000000002</v>
      </c>
      <c r="DQ30" s="16">
        <f t="shared" si="26"/>
        <v>2536.1819999999998</v>
      </c>
      <c r="DR30" s="16">
        <f t="shared" si="27"/>
        <v>0</v>
      </c>
      <c r="DS30" s="16">
        <f t="shared" si="28"/>
        <v>0</v>
      </c>
      <c r="DT30" s="16">
        <f t="shared" si="29"/>
        <v>0</v>
      </c>
      <c r="DU30" s="16">
        <f t="shared" si="30"/>
        <v>0</v>
      </c>
      <c r="DV30" s="16">
        <f t="shared" si="31"/>
        <v>0</v>
      </c>
      <c r="DW30" s="15">
        <f t="shared" si="32"/>
        <v>16625353.000000004</v>
      </c>
      <c r="DX30" s="15">
        <v>58203333</v>
      </c>
      <c r="DY30" s="15">
        <f t="shared" si="33"/>
        <v>74828686</v>
      </c>
      <c r="EA30" s="21">
        <v>1986</v>
      </c>
      <c r="EB30" s="24">
        <f t="shared" si="34"/>
        <v>3143.2410000000004</v>
      </c>
      <c r="EC30" s="24">
        <f t="shared" si="35"/>
        <v>3216.5209999999997</v>
      </c>
      <c r="ED30" s="24">
        <f t="shared" si="36"/>
        <v>2954.0329999999999</v>
      </c>
      <c r="EE30" s="24">
        <f t="shared" si="37"/>
        <v>2424.674</v>
      </c>
      <c r="EF30" s="24">
        <f t="shared" si="38"/>
        <v>2350.7020000000002</v>
      </c>
      <c r="EG30" s="24">
        <f t="shared" si="39"/>
        <v>2536.1819999999998</v>
      </c>
      <c r="EH30" s="24">
        <f t="shared" si="40"/>
        <v>0</v>
      </c>
      <c r="EI30" s="24">
        <f t="shared" si="41"/>
        <v>0</v>
      </c>
      <c r="EJ30" s="24">
        <f t="shared" si="42"/>
        <v>0</v>
      </c>
      <c r="EK30" s="24">
        <f t="shared" si="43"/>
        <v>0</v>
      </c>
      <c r="EL30" s="24">
        <f t="shared" si="44"/>
        <v>0</v>
      </c>
      <c r="EM30" s="21">
        <f t="shared" si="45"/>
        <v>16625353.000000004</v>
      </c>
      <c r="EN30" s="21">
        <v>58203333</v>
      </c>
      <c r="EO30" s="21">
        <f t="shared" si="46"/>
        <v>74828686</v>
      </c>
      <c r="EQ30" s="11">
        <v>1986</v>
      </c>
      <c r="ER30" s="11">
        <f t="shared" si="47"/>
        <v>3143.2410000000004</v>
      </c>
      <c r="ES30" s="11">
        <f t="shared" si="48"/>
        <v>3216.5209999999997</v>
      </c>
      <c r="ET30" s="11">
        <f t="shared" si="49"/>
        <v>2954.0329999999999</v>
      </c>
      <c r="EU30" s="11">
        <f t="shared" si="50"/>
        <v>2424.674</v>
      </c>
      <c r="EV30" s="11">
        <f t="shared" si="51"/>
        <v>2350.7020000000002</v>
      </c>
      <c r="EW30" s="11">
        <f t="shared" si="52"/>
        <v>2536.1819999999998</v>
      </c>
      <c r="EX30" s="11">
        <f t="shared" si="53"/>
        <v>0</v>
      </c>
      <c r="EY30" s="11">
        <f t="shared" si="54"/>
        <v>0</v>
      </c>
      <c r="EZ30" s="11">
        <f t="shared" si="55"/>
        <v>0</v>
      </c>
      <c r="FA30" s="11">
        <f t="shared" si="56"/>
        <v>0</v>
      </c>
      <c r="FB30" s="11">
        <f t="shared" si="57"/>
        <v>0</v>
      </c>
      <c r="FC30" s="11">
        <f t="shared" si="58"/>
        <v>16625353.000000004</v>
      </c>
      <c r="FD30" s="11">
        <v>58203333</v>
      </c>
      <c r="FE30" s="11">
        <f t="shared" si="59"/>
        <v>74828686</v>
      </c>
    </row>
    <row r="31" spans="1:161" x14ac:dyDescent="0.3">
      <c r="A31" s="15">
        <v>1987</v>
      </c>
      <c r="B31" s="16">
        <v>544.18600000000004</v>
      </c>
      <c r="C31" s="16">
        <v>404.62200000000001</v>
      </c>
      <c r="D31" s="16">
        <v>341.99</v>
      </c>
      <c r="E31" s="16">
        <v>303.87200000000001</v>
      </c>
      <c r="F31" s="16">
        <v>218.80699999999999</v>
      </c>
      <c r="G31" s="16">
        <v>201.316</v>
      </c>
      <c r="H31" s="59"/>
      <c r="I31" s="59"/>
      <c r="J31" s="59"/>
      <c r="K31" s="59"/>
      <c r="L31" s="59"/>
      <c r="M31" s="16"/>
      <c r="N31" s="15"/>
      <c r="O31" s="15"/>
      <c r="P31" s="15"/>
      <c r="R31" s="21">
        <v>1987</v>
      </c>
      <c r="S31" s="23">
        <v>0.79887895369011075</v>
      </c>
      <c r="T31" s="23">
        <v>0.84071171671686307</v>
      </c>
      <c r="U31" s="23">
        <v>0.87303535699241785</v>
      </c>
      <c r="V31" s="23">
        <v>0.87796094274863234</v>
      </c>
      <c r="W31" s="23">
        <v>0.88925371058435498</v>
      </c>
      <c r="X31" s="60"/>
      <c r="Y31" s="60"/>
      <c r="Z31" s="60"/>
      <c r="AA31" s="60"/>
      <c r="AB31" s="60"/>
      <c r="AC31" s="60"/>
      <c r="AD31" s="21"/>
      <c r="AE31" s="21"/>
      <c r="AF31" s="21"/>
      <c r="AH31" s="11">
        <v>1987</v>
      </c>
      <c r="AI31" s="13">
        <v>6.5936407772342545</v>
      </c>
      <c r="AJ31" s="13">
        <v>8.9228959374428474</v>
      </c>
      <c r="AK31" s="13">
        <v>8.7886137021550343</v>
      </c>
      <c r="AL31" s="13">
        <v>9.2313572820134802</v>
      </c>
      <c r="AM31" s="13">
        <v>10.666651432541007</v>
      </c>
      <c r="AN31" s="13">
        <v>11.151975004470584</v>
      </c>
      <c r="AO31" s="66"/>
      <c r="AP31" s="66"/>
      <c r="AQ31" s="66"/>
      <c r="AR31" s="66"/>
      <c r="AS31" s="66"/>
      <c r="AT31" s="66"/>
      <c r="AU31" s="13"/>
      <c r="AV31" s="13"/>
      <c r="AW31" s="13"/>
      <c r="AY31" s="36">
        <v>1987</v>
      </c>
      <c r="AZ31" s="37">
        <f t="shared" si="14"/>
        <v>3588.1670000000004</v>
      </c>
      <c r="BA31" s="37">
        <f t="shared" si="15"/>
        <v>3610.4</v>
      </c>
      <c r="BB31" s="37">
        <f t="shared" si="60"/>
        <v>3005.6180000000004</v>
      </c>
      <c r="BC31" s="37">
        <f t="shared" si="61"/>
        <v>2805.1510000000003</v>
      </c>
      <c r="BD31" s="37">
        <f t="shared" si="62"/>
        <v>2333.9380000000001</v>
      </c>
      <c r="BE31" s="37">
        <f t="shared" si="63"/>
        <v>2245.0709999999999</v>
      </c>
      <c r="BF31" s="37"/>
      <c r="BG31" s="37"/>
      <c r="BH31" s="37"/>
      <c r="BI31" s="37"/>
      <c r="BJ31" s="37"/>
      <c r="BK31" s="36">
        <f t="shared" si="16"/>
        <v>17588345</v>
      </c>
      <c r="BL31" s="36">
        <v>57163814</v>
      </c>
      <c r="BM31" s="38">
        <f t="shared" si="17"/>
        <v>74752159</v>
      </c>
      <c r="BN31" s="38">
        <v>74752159</v>
      </c>
      <c r="BO31" s="39">
        <f t="shared" si="18"/>
        <v>74752159</v>
      </c>
      <c r="BP31" s="39">
        <f t="shared" si="19"/>
        <v>74752159</v>
      </c>
      <c r="BQ31" s="39">
        <f t="shared" si="20"/>
        <v>74752159</v>
      </c>
      <c r="BR31" s="36"/>
      <c r="BS31" s="37">
        <v>8</v>
      </c>
      <c r="BT31" s="36"/>
      <c r="BU31" s="36"/>
      <c r="BV31" s="36"/>
      <c r="BX31" s="15">
        <v>1987</v>
      </c>
      <c r="BY31" s="16">
        <v>544.18600000000004</v>
      </c>
      <c r="BZ31" s="16">
        <v>404.62200000000001</v>
      </c>
      <c r="CA31" s="16">
        <v>341.99</v>
      </c>
      <c r="CB31" s="16">
        <v>303.87200000000001</v>
      </c>
      <c r="CC31" s="16">
        <v>218.80699999999999</v>
      </c>
      <c r="CD31" s="16">
        <v>201.316</v>
      </c>
      <c r="CE31" s="59"/>
      <c r="CF31" s="59"/>
      <c r="CG31" s="59"/>
      <c r="CH31" s="59"/>
      <c r="CI31" s="59"/>
      <c r="CK31" s="21">
        <v>1987</v>
      </c>
      <c r="CL31" s="24">
        <v>544.18600000000004</v>
      </c>
      <c r="CM31" s="24">
        <v>404.62200000000001</v>
      </c>
      <c r="CN31" s="24">
        <v>341.99</v>
      </c>
      <c r="CO31" s="24">
        <v>303.87200000000001</v>
      </c>
      <c r="CP31" s="24">
        <v>218.80699999999999</v>
      </c>
      <c r="CQ31" s="24">
        <v>201.316</v>
      </c>
      <c r="CR31" s="5"/>
      <c r="CS31" s="5"/>
      <c r="CT31" s="5"/>
      <c r="CU31" s="5"/>
      <c r="CV31" s="5"/>
      <c r="CX31" s="11">
        <v>1987</v>
      </c>
      <c r="CY31" s="13">
        <v>6.5936407772342545</v>
      </c>
      <c r="CZ31" s="13">
        <v>8.9228959374428474</v>
      </c>
      <c r="DA31" s="13">
        <v>8.7886137021550343</v>
      </c>
      <c r="DB31" s="13">
        <v>9.2313572820134802</v>
      </c>
      <c r="DC31" s="13">
        <v>10.666651432541007</v>
      </c>
      <c r="DD31" s="13">
        <v>11.151975004470584</v>
      </c>
      <c r="DE31" s="66"/>
      <c r="DF31" s="66"/>
      <c r="DG31" s="66"/>
      <c r="DH31" s="66"/>
      <c r="DI31" s="66"/>
      <c r="DK31" s="15">
        <v>1987</v>
      </c>
      <c r="DL31" s="16">
        <f t="shared" si="21"/>
        <v>3588.1670000000004</v>
      </c>
      <c r="DM31" s="16">
        <f t="shared" si="22"/>
        <v>3610.4</v>
      </c>
      <c r="DN31" s="16">
        <f t="shared" si="23"/>
        <v>3005.6180000000004</v>
      </c>
      <c r="DO31" s="16">
        <f t="shared" si="24"/>
        <v>2805.1510000000003</v>
      </c>
      <c r="DP31" s="16">
        <f t="shared" si="25"/>
        <v>2333.9380000000001</v>
      </c>
      <c r="DQ31" s="16">
        <f t="shared" si="26"/>
        <v>2245.0709999999999</v>
      </c>
      <c r="DR31" s="16">
        <f t="shared" si="27"/>
        <v>0</v>
      </c>
      <c r="DS31" s="16">
        <f t="shared" si="28"/>
        <v>0</v>
      </c>
      <c r="DT31" s="16">
        <f t="shared" si="29"/>
        <v>0</v>
      </c>
      <c r="DU31" s="16">
        <f t="shared" si="30"/>
        <v>0</v>
      </c>
      <c r="DV31" s="16">
        <f t="shared" si="31"/>
        <v>0</v>
      </c>
      <c r="DW31" s="15">
        <f t="shared" si="32"/>
        <v>17588345</v>
      </c>
      <c r="DX31" s="15">
        <v>57163814</v>
      </c>
      <c r="DY31" s="15">
        <f t="shared" si="33"/>
        <v>74752159</v>
      </c>
      <c r="EA31" s="21">
        <v>1987</v>
      </c>
      <c r="EB31" s="24">
        <f t="shared" si="34"/>
        <v>3588.1670000000004</v>
      </c>
      <c r="EC31" s="24">
        <f t="shared" si="35"/>
        <v>3610.4</v>
      </c>
      <c r="ED31" s="24">
        <f t="shared" si="36"/>
        <v>3005.6180000000004</v>
      </c>
      <c r="EE31" s="24">
        <f t="shared" si="37"/>
        <v>2805.1510000000003</v>
      </c>
      <c r="EF31" s="24">
        <f t="shared" si="38"/>
        <v>2333.9380000000001</v>
      </c>
      <c r="EG31" s="24">
        <f t="shared" si="39"/>
        <v>2245.0709999999999</v>
      </c>
      <c r="EH31" s="24">
        <f t="shared" si="40"/>
        <v>0</v>
      </c>
      <c r="EI31" s="24">
        <f t="shared" si="41"/>
        <v>0</v>
      </c>
      <c r="EJ31" s="24">
        <f t="shared" si="42"/>
        <v>0</v>
      </c>
      <c r="EK31" s="24">
        <f t="shared" si="43"/>
        <v>0</v>
      </c>
      <c r="EL31" s="24">
        <f t="shared" si="44"/>
        <v>0</v>
      </c>
      <c r="EM31" s="21">
        <f t="shared" si="45"/>
        <v>17588345</v>
      </c>
      <c r="EN31" s="21">
        <v>57163814</v>
      </c>
      <c r="EO31" s="21">
        <f t="shared" si="46"/>
        <v>74752159</v>
      </c>
      <c r="EQ31" s="11">
        <v>1987</v>
      </c>
      <c r="ER31" s="11">
        <f t="shared" si="47"/>
        <v>3588.1670000000004</v>
      </c>
      <c r="ES31" s="11">
        <f t="shared" si="48"/>
        <v>3610.4</v>
      </c>
      <c r="ET31" s="11">
        <f t="shared" si="49"/>
        <v>3005.6180000000004</v>
      </c>
      <c r="EU31" s="11">
        <f t="shared" si="50"/>
        <v>2805.1510000000003</v>
      </c>
      <c r="EV31" s="11">
        <f t="shared" si="51"/>
        <v>2333.9380000000001</v>
      </c>
      <c r="EW31" s="11">
        <f t="shared" si="52"/>
        <v>2245.0709999999999</v>
      </c>
      <c r="EX31" s="11">
        <f t="shared" si="53"/>
        <v>0</v>
      </c>
      <c r="EY31" s="11">
        <f t="shared" si="54"/>
        <v>0</v>
      </c>
      <c r="EZ31" s="11">
        <f t="shared" si="55"/>
        <v>0</v>
      </c>
      <c r="FA31" s="11">
        <f t="shared" si="56"/>
        <v>0</v>
      </c>
      <c r="FB31" s="11">
        <f t="shared" si="57"/>
        <v>0</v>
      </c>
      <c r="FC31" s="11">
        <f t="shared" si="58"/>
        <v>17588345</v>
      </c>
      <c r="FD31" s="11">
        <v>57163814</v>
      </c>
      <c r="FE31" s="11">
        <f t="shared" si="59"/>
        <v>74752159</v>
      </c>
    </row>
    <row r="32" spans="1:161" x14ac:dyDescent="0.3">
      <c r="A32" s="15">
        <v>1988</v>
      </c>
      <c r="B32" s="16">
        <v>489.34500000000003</v>
      </c>
      <c r="C32" s="16">
        <v>405.87299999999999</v>
      </c>
      <c r="D32" s="16">
        <v>337.42500000000001</v>
      </c>
      <c r="E32" s="16">
        <v>297.38600000000002</v>
      </c>
      <c r="F32" s="16">
        <v>270.94</v>
      </c>
      <c r="G32" s="16">
        <v>196.422</v>
      </c>
      <c r="H32" s="59"/>
      <c r="I32" s="59"/>
      <c r="J32" s="59"/>
      <c r="K32" s="59"/>
      <c r="L32" s="59"/>
      <c r="M32" s="16"/>
      <c r="N32" s="15"/>
      <c r="O32" s="15"/>
      <c r="P32" s="15"/>
      <c r="R32" s="21">
        <v>1988</v>
      </c>
      <c r="S32" s="23">
        <v>0.74745302101889011</v>
      </c>
      <c r="T32" s="23">
        <v>0.82234570645328597</v>
      </c>
      <c r="U32" s="23">
        <v>0.85754877499277038</v>
      </c>
      <c r="V32" s="23">
        <v>0.88518491178858794</v>
      </c>
      <c r="W32" s="23">
        <v>0.89129527242365925</v>
      </c>
      <c r="X32" s="60"/>
      <c r="Y32" s="60"/>
      <c r="Z32" s="60"/>
      <c r="AA32" s="60"/>
      <c r="AB32" s="60"/>
      <c r="AC32" s="60"/>
      <c r="AD32" s="21"/>
      <c r="AE32" s="21"/>
      <c r="AF32" s="21"/>
      <c r="AH32" s="11">
        <v>1988</v>
      </c>
      <c r="AI32" s="13">
        <v>6.3025064116318754</v>
      </c>
      <c r="AJ32" s="13">
        <v>10.044484358407679</v>
      </c>
      <c r="AK32" s="13">
        <v>8.6496554789953315</v>
      </c>
      <c r="AL32" s="13">
        <v>9.5701041743727</v>
      </c>
      <c r="AM32" s="13">
        <v>9.8361371521370042</v>
      </c>
      <c r="AN32" s="13">
        <v>11.483835822871166</v>
      </c>
      <c r="AO32" s="66"/>
      <c r="AP32" s="66"/>
      <c r="AQ32" s="66"/>
      <c r="AR32" s="66"/>
      <c r="AS32" s="66"/>
      <c r="AT32" s="66"/>
      <c r="AU32" s="13"/>
      <c r="AV32" s="13"/>
      <c r="AW32" s="13"/>
      <c r="AY32" s="36">
        <v>1988</v>
      </c>
      <c r="AZ32" s="37">
        <f t="shared" si="14"/>
        <v>3084.1000000000004</v>
      </c>
      <c r="BA32" s="37">
        <f t="shared" si="15"/>
        <v>4076.7849999999999</v>
      </c>
      <c r="BB32" s="37">
        <f t="shared" si="60"/>
        <v>2918.6099999999997</v>
      </c>
      <c r="BC32" s="37">
        <f t="shared" si="61"/>
        <v>2846.0149999999999</v>
      </c>
      <c r="BD32" s="37">
        <f t="shared" si="62"/>
        <v>2665.0029999999997</v>
      </c>
      <c r="BE32" s="37">
        <f t="shared" si="63"/>
        <v>2255.6780000000003</v>
      </c>
      <c r="BF32" s="37"/>
      <c r="BG32" s="37"/>
      <c r="BH32" s="37"/>
      <c r="BI32" s="37"/>
      <c r="BJ32" s="37"/>
      <c r="BK32" s="36">
        <f t="shared" si="16"/>
        <v>17846191</v>
      </c>
      <c r="BL32" s="36">
        <v>59739195</v>
      </c>
      <c r="BM32" s="38">
        <f t="shared" si="17"/>
        <v>77585386</v>
      </c>
      <c r="BN32" s="38">
        <v>77585386</v>
      </c>
      <c r="BO32" s="39">
        <f t="shared" si="18"/>
        <v>77585386</v>
      </c>
      <c r="BP32" s="39">
        <f t="shared" si="19"/>
        <v>77585386</v>
      </c>
      <c r="BQ32" s="39">
        <f t="shared" si="20"/>
        <v>77585386</v>
      </c>
      <c r="BR32" s="36"/>
      <c r="BS32" s="37">
        <v>9</v>
      </c>
      <c r="BT32" s="36"/>
      <c r="BU32" s="36"/>
      <c r="BV32" s="36"/>
      <c r="BX32" s="15">
        <v>1988</v>
      </c>
      <c r="BY32" s="16">
        <v>489.34500000000003</v>
      </c>
      <c r="BZ32" s="16">
        <v>405.87299999999999</v>
      </c>
      <c r="CA32" s="16">
        <v>337.42500000000001</v>
      </c>
      <c r="CB32" s="16">
        <v>297.38600000000002</v>
      </c>
      <c r="CC32" s="16">
        <v>270.94</v>
      </c>
      <c r="CD32" s="16">
        <v>196.422</v>
      </c>
      <c r="CE32" s="59"/>
      <c r="CF32" s="59"/>
      <c r="CG32" s="59"/>
      <c r="CH32" s="59"/>
      <c r="CI32" s="59"/>
      <c r="CK32" s="21">
        <v>1988</v>
      </c>
      <c r="CL32" s="24">
        <v>489.34500000000003</v>
      </c>
      <c r="CM32" s="24">
        <v>405.87299999999999</v>
      </c>
      <c r="CN32" s="24">
        <v>337.42500000000001</v>
      </c>
      <c r="CO32" s="24">
        <v>297.38600000000002</v>
      </c>
      <c r="CP32" s="24">
        <v>270.94</v>
      </c>
      <c r="CQ32" s="24">
        <v>196.422</v>
      </c>
      <c r="CR32" s="5"/>
      <c r="CS32" s="5"/>
      <c r="CT32" s="5"/>
      <c r="CU32" s="5"/>
      <c r="CV32" s="5"/>
      <c r="CX32" s="11">
        <v>1988</v>
      </c>
      <c r="CY32" s="13">
        <v>6.3025064116318754</v>
      </c>
      <c r="CZ32" s="13">
        <v>10.044484358407679</v>
      </c>
      <c r="DA32" s="13">
        <v>8.6496554789953315</v>
      </c>
      <c r="DB32" s="13">
        <v>9.5701041743727</v>
      </c>
      <c r="DC32" s="13">
        <v>9.8361371521370042</v>
      </c>
      <c r="DD32" s="13">
        <v>11.483835822871166</v>
      </c>
      <c r="DE32" s="66"/>
      <c r="DF32" s="66"/>
      <c r="DG32" s="66"/>
      <c r="DH32" s="66"/>
      <c r="DI32" s="66"/>
      <c r="DK32" s="15">
        <v>1988</v>
      </c>
      <c r="DL32" s="16">
        <f t="shared" si="21"/>
        <v>3084.1000000000004</v>
      </c>
      <c r="DM32" s="16">
        <f t="shared" si="22"/>
        <v>4076.7849999999999</v>
      </c>
      <c r="DN32" s="16">
        <f t="shared" si="23"/>
        <v>2918.6099999999997</v>
      </c>
      <c r="DO32" s="16">
        <f t="shared" si="24"/>
        <v>2846.0149999999999</v>
      </c>
      <c r="DP32" s="16">
        <f t="shared" si="25"/>
        <v>2665.0029999999997</v>
      </c>
      <c r="DQ32" s="16">
        <f t="shared" si="26"/>
        <v>2255.6780000000003</v>
      </c>
      <c r="DR32" s="16">
        <f t="shared" si="27"/>
        <v>0</v>
      </c>
      <c r="DS32" s="16">
        <f t="shared" si="28"/>
        <v>0</v>
      </c>
      <c r="DT32" s="16">
        <f t="shared" si="29"/>
        <v>0</v>
      </c>
      <c r="DU32" s="16">
        <f t="shared" si="30"/>
        <v>0</v>
      </c>
      <c r="DV32" s="16">
        <f t="shared" si="31"/>
        <v>0</v>
      </c>
      <c r="DW32" s="15">
        <f t="shared" si="32"/>
        <v>17846191</v>
      </c>
      <c r="DX32" s="15">
        <v>59739195</v>
      </c>
      <c r="DY32" s="15">
        <f t="shared" si="33"/>
        <v>77585386</v>
      </c>
      <c r="EA32" s="21">
        <v>1988</v>
      </c>
      <c r="EB32" s="24">
        <f t="shared" si="34"/>
        <v>3084.1000000000004</v>
      </c>
      <c r="EC32" s="24">
        <f t="shared" si="35"/>
        <v>4076.7849999999999</v>
      </c>
      <c r="ED32" s="24">
        <f t="shared" si="36"/>
        <v>2918.6099999999997</v>
      </c>
      <c r="EE32" s="24">
        <f t="shared" si="37"/>
        <v>2846.0149999999999</v>
      </c>
      <c r="EF32" s="24">
        <f t="shared" si="38"/>
        <v>2665.0029999999997</v>
      </c>
      <c r="EG32" s="24">
        <f t="shared" si="39"/>
        <v>2255.6780000000003</v>
      </c>
      <c r="EH32" s="24">
        <f t="shared" si="40"/>
        <v>0</v>
      </c>
      <c r="EI32" s="24">
        <f t="shared" si="41"/>
        <v>0</v>
      </c>
      <c r="EJ32" s="24">
        <f t="shared" si="42"/>
        <v>0</v>
      </c>
      <c r="EK32" s="24">
        <f t="shared" si="43"/>
        <v>0</v>
      </c>
      <c r="EL32" s="24">
        <f t="shared" si="44"/>
        <v>0</v>
      </c>
      <c r="EM32" s="21">
        <f t="shared" si="45"/>
        <v>17846191</v>
      </c>
      <c r="EN32" s="21">
        <v>59739195</v>
      </c>
      <c r="EO32" s="21">
        <f t="shared" si="46"/>
        <v>77585386</v>
      </c>
      <c r="EQ32" s="11">
        <v>1988</v>
      </c>
      <c r="ER32" s="11">
        <f t="shared" si="47"/>
        <v>3084.1000000000004</v>
      </c>
      <c r="ES32" s="11">
        <f t="shared" si="48"/>
        <v>4076.7849999999999</v>
      </c>
      <c r="ET32" s="11">
        <f t="shared" si="49"/>
        <v>2918.6099999999997</v>
      </c>
      <c r="EU32" s="11">
        <f t="shared" si="50"/>
        <v>2846.0149999999999</v>
      </c>
      <c r="EV32" s="11">
        <f t="shared" si="51"/>
        <v>2665.0029999999997</v>
      </c>
      <c r="EW32" s="11">
        <f t="shared" si="52"/>
        <v>2255.6780000000003</v>
      </c>
      <c r="EX32" s="11">
        <f t="shared" si="53"/>
        <v>0</v>
      </c>
      <c r="EY32" s="11">
        <f t="shared" si="54"/>
        <v>0</v>
      </c>
      <c r="EZ32" s="11">
        <f t="shared" si="55"/>
        <v>0</v>
      </c>
      <c r="FA32" s="11">
        <f t="shared" si="56"/>
        <v>0</v>
      </c>
      <c r="FB32" s="11">
        <f t="shared" si="57"/>
        <v>0</v>
      </c>
      <c r="FC32" s="11">
        <f t="shared" si="58"/>
        <v>17846191</v>
      </c>
      <c r="FD32" s="11">
        <v>59739195</v>
      </c>
      <c r="FE32" s="11">
        <f t="shared" si="59"/>
        <v>77585386</v>
      </c>
    </row>
    <row r="33" spans="1:161" x14ac:dyDescent="0.3">
      <c r="A33" s="15">
        <v>1989</v>
      </c>
      <c r="B33" s="16">
        <v>473.827</v>
      </c>
      <c r="C33" s="16">
        <v>378.89699999999999</v>
      </c>
      <c r="D33" s="16">
        <v>339.36200000000002</v>
      </c>
      <c r="E33" s="16">
        <v>292.70999999999998</v>
      </c>
      <c r="F33" s="16">
        <v>263.447</v>
      </c>
      <c r="G33" s="16">
        <v>244.113</v>
      </c>
      <c r="H33" s="59"/>
      <c r="I33" s="59"/>
      <c r="J33" s="59"/>
      <c r="K33" s="59"/>
      <c r="L33" s="59"/>
      <c r="M33" s="16"/>
      <c r="N33" s="15"/>
      <c r="O33" s="15"/>
      <c r="P33" s="15"/>
      <c r="R33" s="21">
        <v>1989</v>
      </c>
      <c r="S33" s="23">
        <v>0.791225583733838</v>
      </c>
      <c r="T33" s="23">
        <v>0.82673958781478185</v>
      </c>
      <c r="U33" s="23">
        <v>0.85797888695295688</v>
      </c>
      <c r="V33" s="23">
        <v>0.88007075426935966</v>
      </c>
      <c r="W33" s="23">
        <v>0.89906723525580368</v>
      </c>
      <c r="X33" s="60"/>
      <c r="Y33" s="60"/>
      <c r="Z33" s="60"/>
      <c r="AA33" s="60"/>
      <c r="AB33" s="60"/>
      <c r="AC33" s="60"/>
      <c r="AD33" s="21"/>
      <c r="AE33" s="21"/>
      <c r="AF33" s="21"/>
      <c r="AH33" s="11">
        <v>1989</v>
      </c>
      <c r="AI33" s="13">
        <v>6.262534638169627</v>
      </c>
      <c r="AJ33" s="13">
        <v>8.4811677052074845</v>
      </c>
      <c r="AK33" s="13">
        <v>11.009008079867517</v>
      </c>
      <c r="AL33" s="13">
        <v>9.6584093471353896</v>
      </c>
      <c r="AM33" s="13">
        <v>10.513537827342882</v>
      </c>
      <c r="AN33" s="13">
        <v>10.544170117937185</v>
      </c>
      <c r="AO33" s="66"/>
      <c r="AP33" s="66"/>
      <c r="AQ33" s="66"/>
      <c r="AR33" s="66"/>
      <c r="AS33" s="66"/>
      <c r="AT33" s="66"/>
      <c r="AU33" s="13"/>
      <c r="AV33" s="13"/>
      <c r="AW33" s="13"/>
      <c r="AY33" s="36">
        <v>1989</v>
      </c>
      <c r="AZ33" s="37">
        <f t="shared" si="14"/>
        <v>2967.3579999999997</v>
      </c>
      <c r="BA33" s="37">
        <f t="shared" si="15"/>
        <v>3213.489</v>
      </c>
      <c r="BB33" s="37">
        <f t="shared" si="60"/>
        <v>3736.0390000000007</v>
      </c>
      <c r="BC33" s="37">
        <f t="shared" si="61"/>
        <v>2827.1129999999998</v>
      </c>
      <c r="BD33" s="37">
        <f t="shared" si="62"/>
        <v>2769.76</v>
      </c>
      <c r="BE33" s="37">
        <f t="shared" si="63"/>
        <v>2573.9690000000001</v>
      </c>
      <c r="BF33" s="37"/>
      <c r="BG33" s="37"/>
      <c r="BH33" s="37"/>
      <c r="BI33" s="37"/>
      <c r="BJ33" s="37"/>
      <c r="BK33" s="36">
        <f t="shared" si="16"/>
        <v>18087728</v>
      </c>
      <c r="BL33" s="36">
        <v>62091127</v>
      </c>
      <c r="BM33" s="38">
        <f t="shared" si="17"/>
        <v>80178855</v>
      </c>
      <c r="BN33" s="38">
        <v>80178855</v>
      </c>
      <c r="BO33" s="39">
        <f t="shared" si="18"/>
        <v>80178855</v>
      </c>
      <c r="BP33" s="39">
        <f t="shared" si="19"/>
        <v>80178855</v>
      </c>
      <c r="BQ33" s="39">
        <f t="shared" si="20"/>
        <v>80178855</v>
      </c>
      <c r="BR33" s="36"/>
      <c r="BS33" s="37">
        <v>10</v>
      </c>
      <c r="BT33" s="36"/>
      <c r="BU33" s="36"/>
      <c r="BV33" s="36"/>
      <c r="BX33" s="15">
        <v>1989</v>
      </c>
      <c r="BY33" s="16">
        <v>473.827</v>
      </c>
      <c r="BZ33" s="16">
        <v>378.89699999999999</v>
      </c>
      <c r="CA33" s="16">
        <v>339.36200000000002</v>
      </c>
      <c r="CB33" s="16">
        <v>292.70999999999998</v>
      </c>
      <c r="CC33" s="16">
        <v>263.447</v>
      </c>
      <c r="CD33" s="16">
        <v>244.113</v>
      </c>
      <c r="CE33" s="59"/>
      <c r="CF33" s="59"/>
      <c r="CG33" s="59"/>
      <c r="CH33" s="59"/>
      <c r="CI33" s="59"/>
      <c r="CK33" s="21">
        <v>1989</v>
      </c>
      <c r="CL33" s="24">
        <v>473.827</v>
      </c>
      <c r="CM33" s="24">
        <v>378.89699999999999</v>
      </c>
      <c r="CN33" s="24">
        <v>339.36200000000002</v>
      </c>
      <c r="CO33" s="24">
        <v>292.70999999999998</v>
      </c>
      <c r="CP33" s="24">
        <v>263.447</v>
      </c>
      <c r="CQ33" s="24">
        <v>244.113</v>
      </c>
      <c r="CR33" s="5"/>
      <c r="CS33" s="5"/>
      <c r="CT33" s="5"/>
      <c r="CU33" s="5"/>
      <c r="CV33" s="5"/>
      <c r="CX33" s="11">
        <v>1989</v>
      </c>
      <c r="CY33" s="13">
        <v>6.262534638169627</v>
      </c>
      <c r="CZ33" s="13">
        <v>8.4811677052074845</v>
      </c>
      <c r="DA33" s="13">
        <v>11.009008079867517</v>
      </c>
      <c r="DB33" s="13">
        <v>9.6584093471353896</v>
      </c>
      <c r="DC33" s="13">
        <v>10.513537827342882</v>
      </c>
      <c r="DD33" s="13">
        <v>10.544170117937185</v>
      </c>
      <c r="DE33" s="66"/>
      <c r="DF33" s="66"/>
      <c r="DG33" s="66"/>
      <c r="DH33" s="66"/>
      <c r="DI33" s="66"/>
      <c r="DK33" s="15">
        <v>1989</v>
      </c>
      <c r="DL33" s="16">
        <f t="shared" si="21"/>
        <v>2967.3579999999997</v>
      </c>
      <c r="DM33" s="16">
        <f t="shared" si="22"/>
        <v>3213.489</v>
      </c>
      <c r="DN33" s="16">
        <f t="shared" si="23"/>
        <v>3736.0390000000007</v>
      </c>
      <c r="DO33" s="16">
        <f t="shared" si="24"/>
        <v>2827.1129999999998</v>
      </c>
      <c r="DP33" s="16">
        <f t="shared" si="25"/>
        <v>2769.76</v>
      </c>
      <c r="DQ33" s="16">
        <f t="shared" si="26"/>
        <v>2573.9690000000001</v>
      </c>
      <c r="DR33" s="16">
        <f t="shared" si="27"/>
        <v>0</v>
      </c>
      <c r="DS33" s="16">
        <f t="shared" si="28"/>
        <v>0</v>
      </c>
      <c r="DT33" s="16">
        <f t="shared" si="29"/>
        <v>0</v>
      </c>
      <c r="DU33" s="16">
        <f t="shared" si="30"/>
        <v>0</v>
      </c>
      <c r="DV33" s="16">
        <f t="shared" si="31"/>
        <v>0</v>
      </c>
      <c r="DW33" s="15">
        <f t="shared" si="32"/>
        <v>18087728</v>
      </c>
      <c r="DX33" s="15">
        <v>62091127</v>
      </c>
      <c r="DY33" s="15">
        <f t="shared" si="33"/>
        <v>80178855</v>
      </c>
      <c r="EA33" s="21">
        <v>1989</v>
      </c>
      <c r="EB33" s="24">
        <f t="shared" si="34"/>
        <v>2967.3579999999997</v>
      </c>
      <c r="EC33" s="24">
        <f t="shared" si="35"/>
        <v>3213.489</v>
      </c>
      <c r="ED33" s="24">
        <f t="shared" si="36"/>
        <v>3736.0390000000007</v>
      </c>
      <c r="EE33" s="24">
        <f t="shared" si="37"/>
        <v>2827.1129999999998</v>
      </c>
      <c r="EF33" s="24">
        <f t="shared" si="38"/>
        <v>2769.76</v>
      </c>
      <c r="EG33" s="24">
        <f t="shared" si="39"/>
        <v>2573.9690000000001</v>
      </c>
      <c r="EH33" s="24">
        <f t="shared" si="40"/>
        <v>0</v>
      </c>
      <c r="EI33" s="24">
        <f t="shared" si="41"/>
        <v>0</v>
      </c>
      <c r="EJ33" s="24">
        <f t="shared" si="42"/>
        <v>0</v>
      </c>
      <c r="EK33" s="24">
        <f t="shared" si="43"/>
        <v>0</v>
      </c>
      <c r="EL33" s="24">
        <f t="shared" si="44"/>
        <v>0</v>
      </c>
      <c r="EM33" s="21">
        <f t="shared" si="45"/>
        <v>18087728</v>
      </c>
      <c r="EN33" s="21">
        <v>62091127</v>
      </c>
      <c r="EO33" s="21">
        <f t="shared" si="46"/>
        <v>80178855</v>
      </c>
      <c r="EQ33" s="11">
        <v>1989</v>
      </c>
      <c r="ER33" s="11">
        <f t="shared" si="47"/>
        <v>2967.3579999999997</v>
      </c>
      <c r="ES33" s="11">
        <f t="shared" si="48"/>
        <v>3213.489</v>
      </c>
      <c r="ET33" s="11">
        <f t="shared" si="49"/>
        <v>3736.0390000000007</v>
      </c>
      <c r="EU33" s="11">
        <f t="shared" si="50"/>
        <v>2827.1129999999998</v>
      </c>
      <c r="EV33" s="11">
        <f t="shared" si="51"/>
        <v>2769.76</v>
      </c>
      <c r="EW33" s="11">
        <f t="shared" si="52"/>
        <v>2573.9690000000001</v>
      </c>
      <c r="EX33" s="11">
        <f t="shared" si="53"/>
        <v>0</v>
      </c>
      <c r="EY33" s="11">
        <f t="shared" si="54"/>
        <v>0</v>
      </c>
      <c r="EZ33" s="11">
        <f t="shared" si="55"/>
        <v>0</v>
      </c>
      <c r="FA33" s="11">
        <f t="shared" si="56"/>
        <v>0</v>
      </c>
      <c r="FB33" s="11">
        <f t="shared" si="57"/>
        <v>0</v>
      </c>
      <c r="FC33" s="11">
        <f t="shared" si="58"/>
        <v>18087728</v>
      </c>
      <c r="FD33" s="11">
        <v>62091127</v>
      </c>
      <c r="FE33" s="11">
        <f t="shared" si="59"/>
        <v>80178855</v>
      </c>
    </row>
    <row r="34" spans="1:161" x14ac:dyDescent="0.3">
      <c r="A34" s="15">
        <v>1990</v>
      </c>
      <c r="B34" s="16">
        <v>476.96</v>
      </c>
      <c r="C34" s="16">
        <v>377.99599999999998</v>
      </c>
      <c r="D34" s="16">
        <v>323.66300000000001</v>
      </c>
      <c r="E34" s="16">
        <v>297.22800000000001</v>
      </c>
      <c r="F34" s="16">
        <v>261.87599999999998</v>
      </c>
      <c r="G34" s="16">
        <v>239.238</v>
      </c>
      <c r="H34" s="59"/>
      <c r="I34" s="59"/>
      <c r="J34" s="59"/>
      <c r="K34" s="59"/>
      <c r="L34" s="59"/>
      <c r="M34" s="16"/>
      <c r="N34" s="15"/>
      <c r="O34" s="15"/>
      <c r="P34" s="15"/>
      <c r="R34" s="21">
        <v>1990</v>
      </c>
      <c r="S34" s="23">
        <v>0.8200245505243442</v>
      </c>
      <c r="T34" s="23">
        <v>0.84169645588158049</v>
      </c>
      <c r="U34" s="23">
        <v>0.85758744129086084</v>
      </c>
      <c r="V34" s="23">
        <v>0.8782171714857413</v>
      </c>
      <c r="W34" s="23">
        <v>0.89380867587924995</v>
      </c>
      <c r="X34" s="60"/>
      <c r="Y34" s="60"/>
      <c r="Z34" s="60"/>
      <c r="AA34" s="60"/>
      <c r="AB34" s="60"/>
      <c r="AC34" s="60"/>
      <c r="AD34" s="21"/>
      <c r="AE34" s="21"/>
      <c r="AF34" s="21"/>
      <c r="AH34" s="11">
        <v>1990</v>
      </c>
      <c r="AI34" s="13">
        <v>6.0842062227440454</v>
      </c>
      <c r="AJ34" s="13">
        <v>8.1009587403041294</v>
      </c>
      <c r="AK34" s="13">
        <v>9.160759802634221</v>
      </c>
      <c r="AL34" s="13">
        <v>12.066854401335002</v>
      </c>
      <c r="AM34" s="13">
        <v>10.148429027478654</v>
      </c>
      <c r="AN34" s="13">
        <v>11.173709862145646</v>
      </c>
      <c r="AO34" s="66"/>
      <c r="AP34" s="66"/>
      <c r="AQ34" s="66"/>
      <c r="AR34" s="66"/>
      <c r="AS34" s="66"/>
      <c r="AT34" s="66"/>
      <c r="AU34" s="13"/>
      <c r="AV34" s="13"/>
      <c r="AW34" s="13"/>
      <c r="AY34" s="36">
        <v>1990</v>
      </c>
      <c r="AZ34" s="37">
        <f t="shared" si="14"/>
        <v>2901.9229999999998</v>
      </c>
      <c r="BA34" s="37">
        <f t="shared" si="15"/>
        <v>3062.1299999999997</v>
      </c>
      <c r="BB34" s="37">
        <f t="shared" si="60"/>
        <v>2964.9989999999998</v>
      </c>
      <c r="BC34" s="37">
        <f t="shared" si="61"/>
        <v>3586.607</v>
      </c>
      <c r="BD34" s="37">
        <f t="shared" si="62"/>
        <v>2657.6299999999997</v>
      </c>
      <c r="BE34" s="37">
        <f t="shared" si="63"/>
        <v>2673.1759999999999</v>
      </c>
      <c r="BF34" s="37"/>
      <c r="BG34" s="37"/>
      <c r="BH34" s="37"/>
      <c r="BI34" s="37"/>
      <c r="BJ34" s="37"/>
      <c r="BK34" s="36">
        <f t="shared" si="16"/>
        <v>17846465</v>
      </c>
      <c r="BL34" s="36">
        <v>63958085</v>
      </c>
      <c r="BM34" s="38">
        <f t="shared" si="17"/>
        <v>81804550</v>
      </c>
      <c r="BN34" s="38">
        <v>81804550</v>
      </c>
      <c r="BO34" s="39">
        <f t="shared" si="18"/>
        <v>81804550</v>
      </c>
      <c r="BP34" s="39">
        <f t="shared" si="19"/>
        <v>81804550</v>
      </c>
      <c r="BQ34" s="39">
        <f t="shared" si="20"/>
        <v>81804550</v>
      </c>
      <c r="BR34" s="36"/>
      <c r="BS34" s="37">
        <v>11</v>
      </c>
      <c r="BT34" s="36"/>
      <c r="BU34" s="36"/>
      <c r="BV34" s="36"/>
      <c r="BX34" s="15">
        <v>1990</v>
      </c>
      <c r="BY34" s="16">
        <v>476.96</v>
      </c>
      <c r="BZ34" s="16">
        <v>377.99599999999998</v>
      </c>
      <c r="CA34" s="16">
        <v>323.66300000000001</v>
      </c>
      <c r="CB34" s="16">
        <v>297.22800000000001</v>
      </c>
      <c r="CC34" s="16">
        <v>261.87599999999998</v>
      </c>
      <c r="CD34" s="16">
        <v>239.238</v>
      </c>
      <c r="CE34" s="59"/>
      <c r="CF34" s="59"/>
      <c r="CG34" s="59"/>
      <c r="CH34" s="59"/>
      <c r="CI34" s="59"/>
      <c r="CK34" s="21">
        <v>1990</v>
      </c>
      <c r="CL34" s="24">
        <v>476.96</v>
      </c>
      <c r="CM34" s="24">
        <v>377.99599999999998</v>
      </c>
      <c r="CN34" s="24">
        <v>323.66300000000001</v>
      </c>
      <c r="CO34" s="24">
        <v>297.22800000000001</v>
      </c>
      <c r="CP34" s="24">
        <v>261.87599999999998</v>
      </c>
      <c r="CQ34" s="24">
        <v>239.238</v>
      </c>
      <c r="CR34" s="5"/>
      <c r="CS34" s="5"/>
      <c r="CT34" s="5"/>
      <c r="CU34" s="5"/>
      <c r="CV34" s="5"/>
      <c r="CX34" s="11">
        <v>1990</v>
      </c>
      <c r="CY34" s="13">
        <v>6.0842062227440454</v>
      </c>
      <c r="CZ34" s="13">
        <v>8.1009587403041294</v>
      </c>
      <c r="DA34" s="13">
        <v>9.160759802634221</v>
      </c>
      <c r="DB34" s="13">
        <v>12.066854401335002</v>
      </c>
      <c r="DC34" s="13">
        <v>10.148429027478654</v>
      </c>
      <c r="DD34" s="13">
        <v>11.173709862145646</v>
      </c>
      <c r="DE34" s="66"/>
      <c r="DF34" s="66"/>
      <c r="DG34" s="66"/>
      <c r="DH34" s="66"/>
      <c r="DI34" s="66"/>
      <c r="DK34" s="15">
        <v>1990</v>
      </c>
      <c r="DL34" s="16">
        <f t="shared" si="21"/>
        <v>2901.9229999999998</v>
      </c>
      <c r="DM34" s="16">
        <f t="shared" si="22"/>
        <v>3062.1299999999997</v>
      </c>
      <c r="DN34" s="16">
        <f t="shared" si="23"/>
        <v>2964.9989999999998</v>
      </c>
      <c r="DO34" s="16">
        <f t="shared" si="24"/>
        <v>3586.607</v>
      </c>
      <c r="DP34" s="16">
        <f t="shared" si="25"/>
        <v>2657.6299999999997</v>
      </c>
      <c r="DQ34" s="16">
        <f t="shared" si="26"/>
        <v>2673.1759999999999</v>
      </c>
      <c r="DR34" s="16">
        <f t="shared" si="27"/>
        <v>0</v>
      </c>
      <c r="DS34" s="16">
        <f t="shared" si="28"/>
        <v>0</v>
      </c>
      <c r="DT34" s="16">
        <f t="shared" si="29"/>
        <v>0</v>
      </c>
      <c r="DU34" s="16">
        <f t="shared" si="30"/>
        <v>0</v>
      </c>
      <c r="DV34" s="16">
        <f t="shared" si="31"/>
        <v>0</v>
      </c>
      <c r="DW34" s="15">
        <f t="shared" si="32"/>
        <v>17846465</v>
      </c>
      <c r="DX34" s="15">
        <v>63958085</v>
      </c>
      <c r="DY34" s="15">
        <f t="shared" si="33"/>
        <v>81804550</v>
      </c>
      <c r="EA34" s="21">
        <v>1990</v>
      </c>
      <c r="EB34" s="24">
        <f t="shared" si="34"/>
        <v>2901.9229999999998</v>
      </c>
      <c r="EC34" s="24">
        <f t="shared" si="35"/>
        <v>3062.1299999999997</v>
      </c>
      <c r="ED34" s="24">
        <f t="shared" si="36"/>
        <v>2964.9989999999998</v>
      </c>
      <c r="EE34" s="24">
        <f t="shared" si="37"/>
        <v>3586.607</v>
      </c>
      <c r="EF34" s="24">
        <f t="shared" si="38"/>
        <v>2657.6299999999997</v>
      </c>
      <c r="EG34" s="24">
        <f t="shared" si="39"/>
        <v>2673.1759999999999</v>
      </c>
      <c r="EH34" s="24">
        <f t="shared" si="40"/>
        <v>0</v>
      </c>
      <c r="EI34" s="24">
        <f t="shared" si="41"/>
        <v>0</v>
      </c>
      <c r="EJ34" s="24">
        <f t="shared" si="42"/>
        <v>0</v>
      </c>
      <c r="EK34" s="24">
        <f t="shared" si="43"/>
        <v>0</v>
      </c>
      <c r="EL34" s="24">
        <f t="shared" si="44"/>
        <v>0</v>
      </c>
      <c r="EM34" s="21">
        <f t="shared" si="45"/>
        <v>17846465</v>
      </c>
      <c r="EN34" s="21">
        <v>63958085</v>
      </c>
      <c r="EO34" s="21">
        <f t="shared" si="46"/>
        <v>81804550</v>
      </c>
      <c r="EQ34" s="11">
        <v>1990</v>
      </c>
      <c r="ER34" s="11">
        <f t="shared" si="47"/>
        <v>2901.9229999999998</v>
      </c>
      <c r="ES34" s="11">
        <f t="shared" si="48"/>
        <v>3062.1299999999997</v>
      </c>
      <c r="ET34" s="11">
        <f t="shared" si="49"/>
        <v>2964.9989999999998</v>
      </c>
      <c r="EU34" s="11">
        <f t="shared" si="50"/>
        <v>3586.607</v>
      </c>
      <c r="EV34" s="11">
        <f t="shared" si="51"/>
        <v>2657.6299999999997</v>
      </c>
      <c r="EW34" s="11">
        <f t="shared" si="52"/>
        <v>2673.1759999999999</v>
      </c>
      <c r="EX34" s="11">
        <f t="shared" si="53"/>
        <v>0</v>
      </c>
      <c r="EY34" s="11">
        <f t="shared" si="54"/>
        <v>0</v>
      </c>
      <c r="EZ34" s="11">
        <f t="shared" si="55"/>
        <v>0</v>
      </c>
      <c r="FA34" s="11">
        <f t="shared" si="56"/>
        <v>0</v>
      </c>
      <c r="FB34" s="11">
        <f t="shared" si="57"/>
        <v>0</v>
      </c>
      <c r="FC34" s="11">
        <f t="shared" si="58"/>
        <v>17846465</v>
      </c>
      <c r="FD34" s="11">
        <v>63958085</v>
      </c>
      <c r="FE34" s="11">
        <f t="shared" si="59"/>
        <v>81804550</v>
      </c>
    </row>
    <row r="35" spans="1:161" x14ac:dyDescent="0.3">
      <c r="A35" s="15">
        <v>1991</v>
      </c>
      <c r="B35" s="16">
        <v>468.90499999999997</v>
      </c>
      <c r="C35" s="16">
        <v>383.44900000000001</v>
      </c>
      <c r="D35" s="16">
        <v>323.94799999999998</v>
      </c>
      <c r="E35" s="16">
        <v>282.27300000000002</v>
      </c>
      <c r="F35" s="16">
        <v>262.32799999999997</v>
      </c>
      <c r="G35" s="16">
        <v>234.04</v>
      </c>
      <c r="H35" s="59">
        <v>214.41819201030029</v>
      </c>
      <c r="I35" s="59">
        <v>193.63233126367891</v>
      </c>
      <c r="J35" s="59">
        <v>169.97387586592859</v>
      </c>
      <c r="K35" s="59">
        <v>150.19834147668587</v>
      </c>
      <c r="L35" s="59">
        <v>138.82925938340637</v>
      </c>
      <c r="M35" s="16"/>
      <c r="N35" s="15"/>
      <c r="O35" s="15"/>
      <c r="P35" s="15"/>
      <c r="R35" s="21">
        <v>1991</v>
      </c>
      <c r="S35" s="23">
        <v>0.83987440311488615</v>
      </c>
      <c r="T35" s="23">
        <v>0.8572147381678541</v>
      </c>
      <c r="U35" s="23">
        <v>0.86634215812351867</v>
      </c>
      <c r="V35" s="23">
        <v>0.87469885029428807</v>
      </c>
      <c r="W35" s="23">
        <v>0.8873910442659374</v>
      </c>
      <c r="X35" s="60">
        <v>0.91771340485207198</v>
      </c>
      <c r="Y35" s="60">
        <v>0.92178820992736976</v>
      </c>
      <c r="Z35" s="60">
        <v>0.9157657936483693</v>
      </c>
      <c r="AA35" s="60">
        <v>0.91418380779471076</v>
      </c>
      <c r="AB35" s="60">
        <v>0.91980978321294815</v>
      </c>
      <c r="AC35" s="60">
        <f t="shared" ref="AC35:AC60" si="64">(S35*C35+T35*D35+U35*E35+V35*F35+W35*G35+X35*H35+Y35*I35+Z35*J35+AA35*K35+AB35*L35)/SUM(C35:L35)</f>
        <v>0.88281965973087806</v>
      </c>
      <c r="AD35" s="21"/>
      <c r="AE35" s="21"/>
      <c r="AF35" s="21"/>
      <c r="AH35" s="11">
        <v>1991</v>
      </c>
      <c r="AI35" s="13">
        <v>5.7971529414273677</v>
      </c>
      <c r="AJ35" s="13">
        <v>7.5469175822599617</v>
      </c>
      <c r="AK35" s="13">
        <v>8.142146270389075</v>
      </c>
      <c r="AL35" s="13">
        <v>9.4929979133675548</v>
      </c>
      <c r="AM35" s="13">
        <v>12.486654112408893</v>
      </c>
      <c r="AN35" s="13">
        <v>10.342526918475475</v>
      </c>
      <c r="AO35" s="66">
        <v>12.486352202174519</v>
      </c>
      <c r="AP35" s="66">
        <v>11.782856669497043</v>
      </c>
      <c r="AQ35" s="66">
        <v>12.832910509167554</v>
      </c>
      <c r="AR35" s="66">
        <v>12.462064021136779</v>
      </c>
      <c r="AS35" s="66">
        <v>13.284346924439761</v>
      </c>
      <c r="AT35" s="66">
        <f t="shared" ref="AT35:AT74" si="65">(G35*AN35+AM34*F34+E33*AL33+AK32*D32+C31*AJ31+AI30*B30)/(B30+C31+D32+E33+F34+G35)</f>
        <v>8.5623940816774873</v>
      </c>
      <c r="AU35" s="13"/>
      <c r="AV35" s="13"/>
      <c r="AW35" s="13"/>
      <c r="AY35" s="36">
        <v>1991</v>
      </c>
      <c r="AZ35" s="37">
        <f t="shared" si="14"/>
        <v>2718.3139999999999</v>
      </c>
      <c r="BA35" s="37">
        <f t="shared" si="15"/>
        <v>2893.8580000000002</v>
      </c>
      <c r="BB35" s="37">
        <f t="shared" si="60"/>
        <v>2637.6320000000001</v>
      </c>
      <c r="BC35" s="37">
        <f t="shared" si="61"/>
        <v>2679.6170000000002</v>
      </c>
      <c r="BD35" s="37">
        <f t="shared" si="62"/>
        <v>3275.5989999999997</v>
      </c>
      <c r="BE35" s="37">
        <f t="shared" si="63"/>
        <v>2420.5650000000001</v>
      </c>
      <c r="BF35" s="37">
        <f t="shared" ref="BF35:BF74" si="66">AO35*H35</f>
        <v>2677.3010639940917</v>
      </c>
      <c r="BG35" s="37">
        <f t="shared" ref="BG35:BG74" si="67">AP35*I35</f>
        <v>2281.5420058605</v>
      </c>
      <c r="BH35" s="37">
        <f t="shared" ref="BH35:BH74" si="68">AQ35*J35</f>
        <v>2181.2595378838164</v>
      </c>
      <c r="BI35" s="37">
        <f t="shared" ref="BI35:BI74" si="69">AR35*K35</f>
        <v>1871.781347351023</v>
      </c>
      <c r="BJ35" s="37">
        <f t="shared" ref="BJ35:BJ74" si="70">AS35*L35</f>
        <v>1844.2560449122043</v>
      </c>
      <c r="BK35" s="36">
        <f t="shared" si="16"/>
        <v>27481725.000001632</v>
      </c>
      <c r="BL35" s="36">
        <v>63923154</v>
      </c>
      <c r="BM35" s="38">
        <f t="shared" si="17"/>
        <v>91404879.000001639</v>
      </c>
      <c r="BN35" s="38">
        <v>91404879.000001639</v>
      </c>
      <c r="BO35" s="39">
        <f t="shared" si="18"/>
        <v>91404879.000001639</v>
      </c>
      <c r="BP35" s="39">
        <f t="shared" si="19"/>
        <v>91404879.000001639</v>
      </c>
      <c r="BQ35" s="39">
        <f t="shared" si="20"/>
        <v>91404879.000001639</v>
      </c>
      <c r="BR35" s="36"/>
      <c r="BS35" s="37">
        <v>12</v>
      </c>
      <c r="BT35" s="36"/>
      <c r="BU35" s="36"/>
      <c r="BV35" s="36"/>
      <c r="BX35" s="15">
        <v>1991</v>
      </c>
      <c r="BY35" s="16">
        <v>468.90499999999997</v>
      </c>
      <c r="BZ35" s="16">
        <v>383.44900000000001</v>
      </c>
      <c r="CA35" s="16">
        <v>323.94799999999998</v>
      </c>
      <c r="CB35" s="16">
        <v>282.27300000000002</v>
      </c>
      <c r="CC35" s="16">
        <v>262.32799999999997</v>
      </c>
      <c r="CD35" s="16">
        <v>234.04</v>
      </c>
      <c r="CE35" s="59">
        <v>214.41819201030029</v>
      </c>
      <c r="CF35" s="59">
        <v>193.63233126367891</v>
      </c>
      <c r="CG35" s="59">
        <v>169.97387586592859</v>
      </c>
      <c r="CH35" s="59">
        <v>150.19834147668587</v>
      </c>
      <c r="CI35" s="59">
        <v>138.82925938340637</v>
      </c>
      <c r="CK35" s="21">
        <v>1991</v>
      </c>
      <c r="CL35" s="24">
        <v>468.90499999999997</v>
      </c>
      <c r="CM35" s="24">
        <v>383.44900000000001</v>
      </c>
      <c r="CN35" s="24">
        <v>323.94799999999998</v>
      </c>
      <c r="CO35" s="24">
        <v>282.27300000000002</v>
      </c>
      <c r="CP35" s="24">
        <v>262.32799999999997</v>
      </c>
      <c r="CQ35" s="24">
        <v>234.04</v>
      </c>
      <c r="CR35" s="5">
        <v>214.41819201030029</v>
      </c>
      <c r="CS35" s="5">
        <v>193.63233126367891</v>
      </c>
      <c r="CT35" s="5">
        <v>169.97387586592859</v>
      </c>
      <c r="CU35" s="5">
        <v>150.19834147668587</v>
      </c>
      <c r="CV35" s="5">
        <v>138.82925938340637</v>
      </c>
      <c r="CX35" s="11">
        <v>1991</v>
      </c>
      <c r="CY35" s="13">
        <v>5.7971529414273677</v>
      </c>
      <c r="CZ35" s="13">
        <v>7.5469175822599617</v>
      </c>
      <c r="DA35" s="13">
        <v>8.142146270389075</v>
      </c>
      <c r="DB35" s="13">
        <v>9.4929979133675548</v>
      </c>
      <c r="DC35" s="13">
        <v>12.486654112408893</v>
      </c>
      <c r="DD35" s="13">
        <v>10.342526918475475</v>
      </c>
      <c r="DE35" s="66">
        <v>12.486352202174519</v>
      </c>
      <c r="DF35" s="66">
        <v>11.782856669497043</v>
      </c>
      <c r="DG35" s="66">
        <v>12.832910509167554</v>
      </c>
      <c r="DH35" s="66">
        <v>12.462064021136779</v>
      </c>
      <c r="DI35" s="66">
        <v>13.284346924439761</v>
      </c>
      <c r="DK35" s="15">
        <v>1991</v>
      </c>
      <c r="DL35" s="16">
        <f t="shared" si="21"/>
        <v>2718.3139999999999</v>
      </c>
      <c r="DM35" s="16">
        <f t="shared" si="22"/>
        <v>2893.8580000000002</v>
      </c>
      <c r="DN35" s="16">
        <f t="shared" si="23"/>
        <v>2637.6320000000001</v>
      </c>
      <c r="DO35" s="16">
        <f t="shared" si="24"/>
        <v>2679.6170000000002</v>
      </c>
      <c r="DP35" s="16">
        <f t="shared" si="25"/>
        <v>3275.5989999999997</v>
      </c>
      <c r="DQ35" s="16">
        <f t="shared" si="26"/>
        <v>2420.5650000000001</v>
      </c>
      <c r="DR35" s="16">
        <f t="shared" si="27"/>
        <v>2677.3010639940917</v>
      </c>
      <c r="DS35" s="16">
        <f t="shared" si="28"/>
        <v>2281.5420058605</v>
      </c>
      <c r="DT35" s="16">
        <f t="shared" si="29"/>
        <v>2181.2595378838164</v>
      </c>
      <c r="DU35" s="16">
        <f t="shared" si="30"/>
        <v>1871.781347351023</v>
      </c>
      <c r="DV35" s="16">
        <f t="shared" si="31"/>
        <v>1844.2560449122043</v>
      </c>
      <c r="DW35" s="15">
        <f t="shared" si="32"/>
        <v>27481725.000001632</v>
      </c>
      <c r="DX35" s="15">
        <v>63923154</v>
      </c>
      <c r="DY35" s="15">
        <f t="shared" si="33"/>
        <v>91404879.000001639</v>
      </c>
      <c r="EA35" s="21">
        <v>1991</v>
      </c>
      <c r="EB35" s="24">
        <f t="shared" si="34"/>
        <v>2718.3139999999999</v>
      </c>
      <c r="EC35" s="24">
        <f t="shared" si="35"/>
        <v>2893.8580000000002</v>
      </c>
      <c r="ED35" s="24">
        <f t="shared" si="36"/>
        <v>2637.6320000000001</v>
      </c>
      <c r="EE35" s="24">
        <f t="shared" si="37"/>
        <v>2679.6170000000002</v>
      </c>
      <c r="EF35" s="24">
        <f t="shared" si="38"/>
        <v>3275.5989999999997</v>
      </c>
      <c r="EG35" s="24">
        <f t="shared" si="39"/>
        <v>2420.5650000000001</v>
      </c>
      <c r="EH35" s="24">
        <f t="shared" si="40"/>
        <v>2677.3010639940917</v>
      </c>
      <c r="EI35" s="24">
        <f t="shared" si="41"/>
        <v>2281.5420058605</v>
      </c>
      <c r="EJ35" s="24">
        <f t="shared" si="42"/>
        <v>2181.2595378838164</v>
      </c>
      <c r="EK35" s="24">
        <f t="shared" si="43"/>
        <v>1871.781347351023</v>
      </c>
      <c r="EL35" s="24">
        <f t="shared" si="44"/>
        <v>1844.2560449122043</v>
      </c>
      <c r="EM35" s="21">
        <f t="shared" si="45"/>
        <v>27481725.000001632</v>
      </c>
      <c r="EN35" s="21">
        <v>63923154</v>
      </c>
      <c r="EO35" s="21">
        <f t="shared" si="46"/>
        <v>91404879.000001639</v>
      </c>
      <c r="EQ35" s="11">
        <v>1991</v>
      </c>
      <c r="ER35" s="11">
        <f t="shared" si="47"/>
        <v>2718.3139999999999</v>
      </c>
      <c r="ES35" s="11">
        <f t="shared" si="48"/>
        <v>2893.8580000000002</v>
      </c>
      <c r="ET35" s="11">
        <f t="shared" si="49"/>
        <v>2637.6320000000001</v>
      </c>
      <c r="EU35" s="11">
        <f t="shared" si="50"/>
        <v>2679.6170000000002</v>
      </c>
      <c r="EV35" s="11">
        <f t="shared" si="51"/>
        <v>3275.5989999999997</v>
      </c>
      <c r="EW35" s="11">
        <f t="shared" si="52"/>
        <v>2420.5650000000001</v>
      </c>
      <c r="EX35" s="11">
        <f t="shared" si="53"/>
        <v>2677.3010639940917</v>
      </c>
      <c r="EY35" s="11">
        <f t="shared" si="54"/>
        <v>2281.5420058605</v>
      </c>
      <c r="EZ35" s="11">
        <f t="shared" si="55"/>
        <v>2181.2595378838164</v>
      </c>
      <c r="FA35" s="11">
        <f t="shared" si="56"/>
        <v>1871.781347351023</v>
      </c>
      <c r="FB35" s="11">
        <f t="shared" si="57"/>
        <v>1844.2560449122043</v>
      </c>
      <c r="FC35" s="11">
        <f t="shared" si="58"/>
        <v>27481725.000001632</v>
      </c>
      <c r="FD35" s="11">
        <v>63923154</v>
      </c>
      <c r="FE35" s="11">
        <f t="shared" si="59"/>
        <v>91404879.000001639</v>
      </c>
    </row>
    <row r="36" spans="1:161" x14ac:dyDescent="0.3">
      <c r="A36" s="15">
        <v>1992</v>
      </c>
      <c r="B36" s="16">
        <v>463.15600000000001</v>
      </c>
      <c r="C36" s="16">
        <v>359.70299999999997</v>
      </c>
      <c r="D36" s="16">
        <v>320.28699999999998</v>
      </c>
      <c r="E36" s="16">
        <v>278.87700000000001</v>
      </c>
      <c r="F36" s="16">
        <v>247.625</v>
      </c>
      <c r="G36" s="16">
        <v>234.291</v>
      </c>
      <c r="H36" s="59">
        <v>209.13332702239941</v>
      </c>
      <c r="I36" s="59">
        <v>197.85023960036324</v>
      </c>
      <c r="J36" s="59">
        <v>179.38961586537138</v>
      </c>
      <c r="K36" s="59">
        <v>156.5383855235898</v>
      </c>
      <c r="L36" s="59">
        <v>138.10943198827604</v>
      </c>
      <c r="M36" s="16"/>
      <c r="N36" s="15"/>
      <c r="O36" s="15"/>
      <c r="P36" s="15"/>
      <c r="R36" s="21">
        <v>1992</v>
      </c>
      <c r="S36" s="23">
        <v>0.78619861385643153</v>
      </c>
      <c r="T36" s="23">
        <v>0.83196633019760402</v>
      </c>
      <c r="U36" s="23">
        <v>0.85809156007845755</v>
      </c>
      <c r="V36" s="23">
        <v>0.87554568399798083</v>
      </c>
      <c r="W36" s="23">
        <v>0.89072990426435505</v>
      </c>
      <c r="X36" s="60">
        <v>0.89713171893693389</v>
      </c>
      <c r="Y36" s="60">
        <v>0.92483119533236779</v>
      </c>
      <c r="Z36" s="60">
        <v>0.92855352976865224</v>
      </c>
      <c r="AA36" s="60">
        <v>0.92305205249778544</v>
      </c>
      <c r="AB36" s="60">
        <v>0.92160690842046833</v>
      </c>
      <c r="AC36" s="60">
        <f t="shared" si="64"/>
        <v>0.87131030890260286</v>
      </c>
      <c r="AD36" s="21"/>
      <c r="AE36" s="21"/>
      <c r="AF36" s="21"/>
      <c r="AH36" s="11">
        <v>1992</v>
      </c>
      <c r="AI36" s="13">
        <v>6.0917638981250377</v>
      </c>
      <c r="AJ36" s="13">
        <v>7.4407691901374191</v>
      </c>
      <c r="AK36" s="13">
        <v>7.8181943069809261</v>
      </c>
      <c r="AL36" s="13">
        <v>8.7262520752876718</v>
      </c>
      <c r="AM36" s="13">
        <v>9.9584290762241299</v>
      </c>
      <c r="AN36" s="13">
        <v>13.450205086836455</v>
      </c>
      <c r="AO36" s="66">
        <v>10.583275998980589</v>
      </c>
      <c r="AP36" s="66">
        <v>12.777004364381281</v>
      </c>
      <c r="AQ36" s="66">
        <v>12.057133152533078</v>
      </c>
      <c r="AR36" s="66">
        <v>13.131629712863079</v>
      </c>
      <c r="AS36" s="66">
        <v>12.752150813072033</v>
      </c>
      <c r="AT36" s="66">
        <f t="shared" si="65"/>
        <v>10.279262677677574</v>
      </c>
      <c r="AU36" s="13"/>
      <c r="AV36" s="13"/>
      <c r="AW36" s="13"/>
      <c r="AY36" s="36">
        <v>1992</v>
      </c>
      <c r="AZ36" s="37">
        <f t="shared" si="14"/>
        <v>2821.4369999999999</v>
      </c>
      <c r="BA36" s="37">
        <f t="shared" si="15"/>
        <v>2676.4670000000001</v>
      </c>
      <c r="BB36" s="37">
        <f t="shared" si="60"/>
        <v>2504.0659999999998</v>
      </c>
      <c r="BC36" s="37">
        <f t="shared" si="61"/>
        <v>2433.5509999999999</v>
      </c>
      <c r="BD36" s="37">
        <f t="shared" si="62"/>
        <v>2465.9560000000001</v>
      </c>
      <c r="BE36" s="37">
        <f t="shared" si="63"/>
        <v>3151.2619999999997</v>
      </c>
      <c r="BF36" s="37">
        <f t="shared" si="66"/>
        <v>2213.3157204631184</v>
      </c>
      <c r="BG36" s="37">
        <f t="shared" si="67"/>
        <v>2527.9333748677232</v>
      </c>
      <c r="BH36" s="37">
        <f t="shared" si="68"/>
        <v>2162.9244846705433</v>
      </c>
      <c r="BI36" s="37">
        <f t="shared" si="69"/>
        <v>2055.6041145451873</v>
      </c>
      <c r="BJ36" s="37">
        <f t="shared" si="70"/>
        <v>1761.1923054222109</v>
      </c>
      <c r="BK36" s="36">
        <f t="shared" si="16"/>
        <v>26773708.999968786</v>
      </c>
      <c r="BL36" s="36">
        <v>64911610</v>
      </c>
      <c r="BM36" s="38">
        <f t="shared" si="17"/>
        <v>91685318.999968782</v>
      </c>
      <c r="BN36" s="38">
        <v>91685318.999968782</v>
      </c>
      <c r="BO36" s="39">
        <f t="shared" si="18"/>
        <v>91685318.999968782</v>
      </c>
      <c r="BP36" s="39">
        <f t="shared" si="19"/>
        <v>91685318.999968782</v>
      </c>
      <c r="BQ36" s="39">
        <f t="shared" si="20"/>
        <v>91685318.999968782</v>
      </c>
      <c r="BR36" s="36"/>
      <c r="BS36" s="37">
        <v>13</v>
      </c>
      <c r="BT36" s="36"/>
      <c r="BU36" s="36"/>
      <c r="BV36" s="36"/>
      <c r="BX36" s="15">
        <v>1992</v>
      </c>
      <c r="BY36" s="16">
        <v>463.15600000000001</v>
      </c>
      <c r="BZ36" s="16">
        <v>359.70299999999997</v>
      </c>
      <c r="CA36" s="16">
        <v>320.28699999999998</v>
      </c>
      <c r="CB36" s="16">
        <v>278.87700000000001</v>
      </c>
      <c r="CC36" s="16">
        <v>247.625</v>
      </c>
      <c r="CD36" s="16">
        <v>234.291</v>
      </c>
      <c r="CE36" s="59">
        <v>209.13332702239941</v>
      </c>
      <c r="CF36" s="59">
        <v>197.85023960036324</v>
      </c>
      <c r="CG36" s="59">
        <v>179.38961586537138</v>
      </c>
      <c r="CH36" s="59">
        <v>156.5383855235898</v>
      </c>
      <c r="CI36" s="59">
        <v>138.10943198827604</v>
      </c>
      <c r="CK36" s="21">
        <v>1992</v>
      </c>
      <c r="CL36" s="24">
        <v>463.15600000000001</v>
      </c>
      <c r="CM36" s="24">
        <v>359.70299999999997</v>
      </c>
      <c r="CN36" s="24">
        <v>320.28699999999998</v>
      </c>
      <c r="CO36" s="24">
        <v>278.87700000000001</v>
      </c>
      <c r="CP36" s="24">
        <v>247.625</v>
      </c>
      <c r="CQ36" s="24">
        <v>234.291</v>
      </c>
      <c r="CR36" s="5">
        <v>209.13332702239941</v>
      </c>
      <c r="CS36" s="5">
        <v>197.85023960036324</v>
      </c>
      <c r="CT36" s="5">
        <v>179.38961586537138</v>
      </c>
      <c r="CU36" s="5">
        <v>156.5383855235898</v>
      </c>
      <c r="CV36" s="5">
        <v>138.10943198827604</v>
      </c>
      <c r="CX36" s="11">
        <v>1992</v>
      </c>
      <c r="CY36" s="13">
        <v>6.0917638981250377</v>
      </c>
      <c r="CZ36" s="13">
        <v>7.4407691901374191</v>
      </c>
      <c r="DA36" s="13">
        <v>7.8181943069809261</v>
      </c>
      <c r="DB36" s="13">
        <v>8.7262520752876718</v>
      </c>
      <c r="DC36" s="13">
        <v>9.9584290762241299</v>
      </c>
      <c r="DD36" s="13">
        <v>13.450205086836455</v>
      </c>
      <c r="DE36" s="66">
        <v>10.583275998980589</v>
      </c>
      <c r="DF36" s="66">
        <v>12.777004364381281</v>
      </c>
      <c r="DG36" s="66">
        <v>12.057133152533078</v>
      </c>
      <c r="DH36" s="66">
        <v>13.131629712863079</v>
      </c>
      <c r="DI36" s="66">
        <v>12.752150813072033</v>
      </c>
      <c r="DK36" s="15">
        <v>1992</v>
      </c>
      <c r="DL36" s="16">
        <f t="shared" si="21"/>
        <v>2821.4369999999999</v>
      </c>
      <c r="DM36" s="16">
        <f t="shared" si="22"/>
        <v>2676.4670000000001</v>
      </c>
      <c r="DN36" s="16">
        <f t="shared" si="23"/>
        <v>2504.0659999999998</v>
      </c>
      <c r="DO36" s="16">
        <f t="shared" si="24"/>
        <v>2433.5509999999999</v>
      </c>
      <c r="DP36" s="16">
        <f t="shared" si="25"/>
        <v>2465.9560000000001</v>
      </c>
      <c r="DQ36" s="16">
        <f t="shared" si="26"/>
        <v>3151.2619999999997</v>
      </c>
      <c r="DR36" s="16">
        <f t="shared" si="27"/>
        <v>2213.3157204631184</v>
      </c>
      <c r="DS36" s="16">
        <f t="shared" si="28"/>
        <v>2527.9333748677232</v>
      </c>
      <c r="DT36" s="16">
        <f t="shared" si="29"/>
        <v>2162.9244846705433</v>
      </c>
      <c r="DU36" s="16">
        <f t="shared" si="30"/>
        <v>2055.6041145451873</v>
      </c>
      <c r="DV36" s="16">
        <f t="shared" si="31"/>
        <v>1761.1923054222109</v>
      </c>
      <c r="DW36" s="15">
        <f t="shared" si="32"/>
        <v>26773708.999968786</v>
      </c>
      <c r="DX36" s="15">
        <v>64911610</v>
      </c>
      <c r="DY36" s="15">
        <f t="shared" si="33"/>
        <v>91685318.999968782</v>
      </c>
      <c r="EA36" s="21">
        <v>1992</v>
      </c>
      <c r="EB36" s="24">
        <f t="shared" si="34"/>
        <v>2821.4369999999999</v>
      </c>
      <c r="EC36" s="24">
        <f t="shared" si="35"/>
        <v>2676.4670000000001</v>
      </c>
      <c r="ED36" s="24">
        <f t="shared" si="36"/>
        <v>2504.0659999999998</v>
      </c>
      <c r="EE36" s="24">
        <f t="shared" si="37"/>
        <v>2433.5509999999999</v>
      </c>
      <c r="EF36" s="24">
        <f t="shared" si="38"/>
        <v>2465.9560000000001</v>
      </c>
      <c r="EG36" s="24">
        <f t="shared" si="39"/>
        <v>3151.2619999999997</v>
      </c>
      <c r="EH36" s="24">
        <f t="shared" si="40"/>
        <v>2213.3157204631184</v>
      </c>
      <c r="EI36" s="24">
        <f t="shared" si="41"/>
        <v>2527.9333748677232</v>
      </c>
      <c r="EJ36" s="24">
        <f t="shared" si="42"/>
        <v>2162.9244846705433</v>
      </c>
      <c r="EK36" s="24">
        <f t="shared" si="43"/>
        <v>2055.6041145451873</v>
      </c>
      <c r="EL36" s="24">
        <f t="shared" si="44"/>
        <v>1761.1923054222109</v>
      </c>
      <c r="EM36" s="21">
        <f t="shared" si="45"/>
        <v>26773708.999968786</v>
      </c>
      <c r="EN36" s="21">
        <v>64911610</v>
      </c>
      <c r="EO36" s="21">
        <f t="shared" si="46"/>
        <v>91685318.999968782</v>
      </c>
      <c r="EQ36" s="11">
        <v>1992</v>
      </c>
      <c r="ER36" s="11">
        <f t="shared" si="47"/>
        <v>2821.4369999999999</v>
      </c>
      <c r="ES36" s="11">
        <f t="shared" si="48"/>
        <v>2676.4670000000001</v>
      </c>
      <c r="ET36" s="11">
        <f t="shared" si="49"/>
        <v>2504.0659999999998</v>
      </c>
      <c r="EU36" s="11">
        <f t="shared" si="50"/>
        <v>2433.5509999999999</v>
      </c>
      <c r="EV36" s="11">
        <f t="shared" si="51"/>
        <v>2465.9560000000001</v>
      </c>
      <c r="EW36" s="11">
        <f t="shared" si="52"/>
        <v>3151.2619999999997</v>
      </c>
      <c r="EX36" s="11">
        <f t="shared" si="53"/>
        <v>2213.3157204631184</v>
      </c>
      <c r="EY36" s="11">
        <f t="shared" si="54"/>
        <v>2527.9333748677232</v>
      </c>
      <c r="EZ36" s="11">
        <f t="shared" si="55"/>
        <v>2162.9244846705433</v>
      </c>
      <c r="FA36" s="11">
        <f t="shared" si="56"/>
        <v>2055.6041145451873</v>
      </c>
      <c r="FB36" s="11">
        <f t="shared" si="57"/>
        <v>1761.1923054222109</v>
      </c>
      <c r="FC36" s="11">
        <f t="shared" si="58"/>
        <v>26773708.999968786</v>
      </c>
      <c r="FD36" s="11">
        <v>64911610</v>
      </c>
      <c r="FE36" s="11">
        <f t="shared" si="59"/>
        <v>91685318.999968782</v>
      </c>
    </row>
    <row r="37" spans="1:161" x14ac:dyDescent="0.3">
      <c r="A37" s="15">
        <v>1993</v>
      </c>
      <c r="B37" s="16">
        <v>474.57799999999997</v>
      </c>
      <c r="C37" s="16">
        <v>356.024</v>
      </c>
      <c r="D37" s="16">
        <v>307.60199999999998</v>
      </c>
      <c r="E37" s="16">
        <v>282.17</v>
      </c>
      <c r="F37" s="16">
        <v>250.07300000000001</v>
      </c>
      <c r="G37" s="16">
        <v>224.67</v>
      </c>
      <c r="H37" s="59">
        <v>213.79392441664248</v>
      </c>
      <c r="I37" s="59">
        <v>192.98913663564906</v>
      </c>
      <c r="J37" s="59">
        <v>187.43927395061226</v>
      </c>
      <c r="K37" s="59">
        <v>170.54248903420671</v>
      </c>
      <c r="L37" s="59">
        <v>148.05417596288945</v>
      </c>
      <c r="M37" s="16"/>
      <c r="N37" s="15"/>
      <c r="O37" s="15"/>
      <c r="P37" s="15"/>
      <c r="R37" s="21">
        <v>1993</v>
      </c>
      <c r="S37" s="23">
        <v>0.77585218974001746</v>
      </c>
      <c r="T37" s="23">
        <v>0.84287488377838893</v>
      </c>
      <c r="U37" s="23">
        <v>0.86703760144593689</v>
      </c>
      <c r="V37" s="23">
        <v>0.88356999756071231</v>
      </c>
      <c r="W37" s="23">
        <v>0.8945208528063382</v>
      </c>
      <c r="X37" s="60">
        <v>0.90439959324088415</v>
      </c>
      <c r="Y37" s="60">
        <v>0.91000054089792348</v>
      </c>
      <c r="Z37" s="60">
        <v>0.93423481279628851</v>
      </c>
      <c r="AA37" s="60">
        <v>0.93749148319459386</v>
      </c>
      <c r="AB37" s="60">
        <v>0.93267824073031247</v>
      </c>
      <c r="AC37" s="60">
        <f t="shared" si="64"/>
        <v>0.87604632095794555</v>
      </c>
      <c r="AD37" s="21"/>
      <c r="AE37" s="21"/>
      <c r="AF37" s="21"/>
      <c r="AH37" s="11">
        <v>1993</v>
      </c>
      <c r="AI37" s="13">
        <v>5.5678834669959416</v>
      </c>
      <c r="AJ37" s="13">
        <v>8.1916050603330106</v>
      </c>
      <c r="AK37" s="13">
        <v>7.9803122216370506</v>
      </c>
      <c r="AL37" s="13">
        <v>8.4959102668604025</v>
      </c>
      <c r="AM37" s="13">
        <v>9.3366536971204415</v>
      </c>
      <c r="AN37" s="13">
        <v>10.570592424444742</v>
      </c>
      <c r="AO37" s="66">
        <v>13.913449118250128</v>
      </c>
      <c r="AP37" s="66">
        <v>10.947778949506564</v>
      </c>
      <c r="AQ37" s="66">
        <v>13.21706241352871</v>
      </c>
      <c r="AR37" s="66">
        <v>12.472397821942263</v>
      </c>
      <c r="AS37" s="66">
        <v>13.5839015591245</v>
      </c>
      <c r="AT37" s="66">
        <f t="shared" si="65"/>
        <v>8.6222906765210716</v>
      </c>
      <c r="AU37" s="13"/>
      <c r="AV37" s="13"/>
      <c r="AW37" s="13"/>
      <c r="AY37" s="36">
        <v>1993</v>
      </c>
      <c r="AZ37" s="37">
        <f t="shared" si="14"/>
        <v>2642.395</v>
      </c>
      <c r="BA37" s="37">
        <f t="shared" si="15"/>
        <v>2916.4079999999999</v>
      </c>
      <c r="BB37" s="37">
        <f t="shared" si="60"/>
        <v>2454.7599999999998</v>
      </c>
      <c r="BC37" s="37">
        <f t="shared" si="61"/>
        <v>2397.2909999999997</v>
      </c>
      <c r="BD37" s="37">
        <f t="shared" si="62"/>
        <v>2334.8450000000003</v>
      </c>
      <c r="BE37" s="37">
        <f t="shared" si="63"/>
        <v>2374.895</v>
      </c>
      <c r="BF37" s="37">
        <f t="shared" si="66"/>
        <v>2974.6108891619688</v>
      </c>
      <c r="BG37" s="37">
        <f t="shared" si="67"/>
        <v>2112.8024075432049</v>
      </c>
      <c r="BH37" s="37">
        <f t="shared" si="68"/>
        <v>2477.3965825517485</v>
      </c>
      <c r="BI37" s="37">
        <f t="shared" si="69"/>
        <v>2127.0737687788519</v>
      </c>
      <c r="BJ37" s="37">
        <f t="shared" si="70"/>
        <v>2011.1533516971872</v>
      </c>
      <c r="BK37" s="36">
        <f t="shared" si="16"/>
        <v>26823630.999732964</v>
      </c>
      <c r="BL37" s="36">
        <v>66425772</v>
      </c>
      <c r="BM37" s="38">
        <f t="shared" si="17"/>
        <v>93249402.999732971</v>
      </c>
      <c r="BN37" s="38">
        <v>93249402.999732971</v>
      </c>
      <c r="BO37" s="39">
        <f t="shared" si="18"/>
        <v>93249402.999732971</v>
      </c>
      <c r="BP37" s="39">
        <f t="shared" si="19"/>
        <v>93249402.999732971</v>
      </c>
      <c r="BQ37" s="39">
        <f t="shared" si="20"/>
        <v>93249402.999732971</v>
      </c>
      <c r="BR37" s="36"/>
      <c r="BS37" s="37">
        <v>14</v>
      </c>
      <c r="BT37" s="36"/>
      <c r="BU37" s="36"/>
      <c r="BV37" s="36"/>
      <c r="BX37" s="15">
        <v>1993</v>
      </c>
      <c r="BY37" s="16">
        <v>474.57799999999997</v>
      </c>
      <c r="BZ37" s="16">
        <v>356.024</v>
      </c>
      <c r="CA37" s="16">
        <v>307.60199999999998</v>
      </c>
      <c r="CB37" s="16">
        <v>282.17</v>
      </c>
      <c r="CC37" s="16">
        <v>250.07300000000001</v>
      </c>
      <c r="CD37" s="16">
        <v>224.67</v>
      </c>
      <c r="CE37" s="59">
        <v>213.79392441664248</v>
      </c>
      <c r="CF37" s="59">
        <v>192.98913663564906</v>
      </c>
      <c r="CG37" s="59">
        <v>187.43927395061226</v>
      </c>
      <c r="CH37" s="59">
        <v>170.54248903420671</v>
      </c>
      <c r="CI37" s="59">
        <v>148.05417596288945</v>
      </c>
      <c r="CK37" s="21">
        <v>1993</v>
      </c>
      <c r="CL37" s="24">
        <v>474.57799999999997</v>
      </c>
      <c r="CM37" s="24">
        <v>356.024</v>
      </c>
      <c r="CN37" s="24">
        <v>307.60199999999998</v>
      </c>
      <c r="CO37" s="24">
        <v>282.17</v>
      </c>
      <c r="CP37" s="24">
        <v>250.07300000000001</v>
      </c>
      <c r="CQ37" s="24">
        <v>224.67</v>
      </c>
      <c r="CR37" s="5">
        <v>213.79392441664248</v>
      </c>
      <c r="CS37" s="5">
        <v>192.98913663564906</v>
      </c>
      <c r="CT37" s="5">
        <v>187.43927395061226</v>
      </c>
      <c r="CU37" s="5">
        <v>170.54248903420671</v>
      </c>
      <c r="CV37" s="5">
        <v>148.05417596288945</v>
      </c>
      <c r="CX37" s="11">
        <v>1993</v>
      </c>
      <c r="CY37" s="13">
        <v>5.5678834669959416</v>
      </c>
      <c r="CZ37" s="13">
        <v>8.1916050603330106</v>
      </c>
      <c r="DA37" s="13">
        <v>7.9803122216370506</v>
      </c>
      <c r="DB37" s="13">
        <v>8.4959102668604025</v>
      </c>
      <c r="DC37" s="13">
        <v>9.3366536971204415</v>
      </c>
      <c r="DD37" s="13">
        <v>10.570592424444742</v>
      </c>
      <c r="DE37" s="66">
        <v>13.913449118250128</v>
      </c>
      <c r="DF37" s="66">
        <v>10.947778949506564</v>
      </c>
      <c r="DG37" s="66">
        <v>13.21706241352871</v>
      </c>
      <c r="DH37" s="66">
        <v>12.472397821942263</v>
      </c>
      <c r="DI37" s="66">
        <v>13.5839015591245</v>
      </c>
      <c r="DK37" s="15">
        <v>1993</v>
      </c>
      <c r="DL37" s="16">
        <f t="shared" si="21"/>
        <v>2642.395</v>
      </c>
      <c r="DM37" s="16">
        <f t="shared" si="22"/>
        <v>2916.4079999999999</v>
      </c>
      <c r="DN37" s="16">
        <f t="shared" si="23"/>
        <v>2454.7599999999998</v>
      </c>
      <c r="DO37" s="16">
        <f t="shared" si="24"/>
        <v>2397.2909999999997</v>
      </c>
      <c r="DP37" s="16">
        <f t="shared" si="25"/>
        <v>2334.8450000000003</v>
      </c>
      <c r="DQ37" s="16">
        <f t="shared" si="26"/>
        <v>2374.895</v>
      </c>
      <c r="DR37" s="16">
        <f t="shared" si="27"/>
        <v>2974.6108891619688</v>
      </c>
      <c r="DS37" s="16">
        <f t="shared" si="28"/>
        <v>2112.8024075432049</v>
      </c>
      <c r="DT37" s="16">
        <f t="shared" si="29"/>
        <v>2477.3965825517485</v>
      </c>
      <c r="DU37" s="16">
        <f t="shared" si="30"/>
        <v>2127.0737687788519</v>
      </c>
      <c r="DV37" s="16">
        <f t="shared" si="31"/>
        <v>2011.1533516971872</v>
      </c>
      <c r="DW37" s="15">
        <f t="shared" si="32"/>
        <v>26823630.999732964</v>
      </c>
      <c r="DX37" s="15">
        <v>66425772</v>
      </c>
      <c r="DY37" s="15">
        <f t="shared" si="33"/>
        <v>93249402.999732971</v>
      </c>
      <c r="EA37" s="21">
        <v>1993</v>
      </c>
      <c r="EB37" s="24">
        <f t="shared" si="34"/>
        <v>2642.395</v>
      </c>
      <c r="EC37" s="24">
        <f t="shared" si="35"/>
        <v>2916.4079999999999</v>
      </c>
      <c r="ED37" s="24">
        <f t="shared" si="36"/>
        <v>2454.7599999999998</v>
      </c>
      <c r="EE37" s="24">
        <f t="shared" si="37"/>
        <v>2397.2909999999997</v>
      </c>
      <c r="EF37" s="24">
        <f t="shared" si="38"/>
        <v>2334.8450000000003</v>
      </c>
      <c r="EG37" s="24">
        <f t="shared" si="39"/>
        <v>2374.895</v>
      </c>
      <c r="EH37" s="24">
        <f t="shared" si="40"/>
        <v>2974.6108891619688</v>
      </c>
      <c r="EI37" s="24">
        <f t="shared" si="41"/>
        <v>2112.8024075432049</v>
      </c>
      <c r="EJ37" s="24">
        <f t="shared" si="42"/>
        <v>2477.3965825517485</v>
      </c>
      <c r="EK37" s="24">
        <f t="shared" si="43"/>
        <v>2127.0737687788519</v>
      </c>
      <c r="EL37" s="24">
        <f t="shared" si="44"/>
        <v>2011.1533516971872</v>
      </c>
      <c r="EM37" s="21">
        <f t="shared" si="45"/>
        <v>26823630.999732964</v>
      </c>
      <c r="EN37" s="21">
        <v>66425772</v>
      </c>
      <c r="EO37" s="21">
        <f t="shared" si="46"/>
        <v>93249402.999732971</v>
      </c>
      <c r="EQ37" s="11">
        <v>1993</v>
      </c>
      <c r="ER37" s="11">
        <f t="shared" si="47"/>
        <v>2642.395</v>
      </c>
      <c r="ES37" s="11">
        <f t="shared" si="48"/>
        <v>2916.4079999999999</v>
      </c>
      <c r="ET37" s="11">
        <f t="shared" si="49"/>
        <v>2454.7599999999998</v>
      </c>
      <c r="EU37" s="11">
        <f t="shared" si="50"/>
        <v>2397.2909999999997</v>
      </c>
      <c r="EV37" s="11">
        <f t="shared" si="51"/>
        <v>2334.8450000000003</v>
      </c>
      <c r="EW37" s="11">
        <f t="shared" si="52"/>
        <v>2374.895</v>
      </c>
      <c r="EX37" s="11">
        <f t="shared" si="53"/>
        <v>2974.6108891619688</v>
      </c>
      <c r="EY37" s="11">
        <f t="shared" si="54"/>
        <v>2112.8024075432049</v>
      </c>
      <c r="EZ37" s="11">
        <f t="shared" si="55"/>
        <v>2477.3965825517485</v>
      </c>
      <c r="FA37" s="11">
        <f t="shared" si="56"/>
        <v>2127.0737687788519</v>
      </c>
      <c r="FB37" s="11">
        <f t="shared" si="57"/>
        <v>2011.1533516971872</v>
      </c>
      <c r="FC37" s="11">
        <f t="shared" si="58"/>
        <v>26823630.999732964</v>
      </c>
      <c r="FD37" s="11">
        <v>66425772</v>
      </c>
      <c r="FE37" s="11">
        <f t="shared" si="59"/>
        <v>93249402.999732971</v>
      </c>
    </row>
    <row r="38" spans="1:161" x14ac:dyDescent="0.3">
      <c r="A38" s="15">
        <v>1994</v>
      </c>
      <c r="B38" s="16">
        <v>496.80500000000001</v>
      </c>
      <c r="C38" s="16">
        <v>366.601</v>
      </c>
      <c r="D38" s="16">
        <v>301.35300000000001</v>
      </c>
      <c r="E38" s="16">
        <v>269.68299999999999</v>
      </c>
      <c r="F38" s="16">
        <v>252.21100000000001</v>
      </c>
      <c r="G38" s="16">
        <v>225.80699999999999</v>
      </c>
      <c r="H38" s="59">
        <v>215.46039002103637</v>
      </c>
      <c r="I38" s="59">
        <v>196.85671984496148</v>
      </c>
      <c r="J38" s="59">
        <v>178.72087411859485</v>
      </c>
      <c r="K38" s="59">
        <v>177.8708878592345</v>
      </c>
      <c r="L38" s="59">
        <v>162.36112815617281</v>
      </c>
      <c r="M38" s="16"/>
      <c r="N38" s="15"/>
      <c r="O38" s="15"/>
      <c r="P38" s="15"/>
      <c r="R38" s="21">
        <v>1994</v>
      </c>
      <c r="S38" s="23">
        <v>0.78344303479805022</v>
      </c>
      <c r="T38" s="23">
        <v>0.83777164985913533</v>
      </c>
      <c r="U38" s="23">
        <v>0.86793383342665276</v>
      </c>
      <c r="V38" s="23">
        <v>0.88448164433747933</v>
      </c>
      <c r="W38" s="23">
        <v>0.89259854654638693</v>
      </c>
      <c r="X38" s="60">
        <v>0.9014824765211199</v>
      </c>
      <c r="Y38" s="60">
        <v>0.91070922008698585</v>
      </c>
      <c r="Z38" s="60">
        <v>0.91594050519866044</v>
      </c>
      <c r="AA38" s="60">
        <v>0.93857531515173354</v>
      </c>
      <c r="AB38" s="60">
        <v>0.94161704530375068</v>
      </c>
      <c r="AC38" s="60">
        <f t="shared" si="64"/>
        <v>0.87578934730014291</v>
      </c>
      <c r="AD38" s="21"/>
      <c r="AE38" s="21"/>
      <c r="AF38" s="21"/>
      <c r="AH38" s="11">
        <v>1994</v>
      </c>
      <c r="AI38" s="13">
        <v>5.881482674288705</v>
      </c>
      <c r="AJ38" s="13">
        <v>7.2805147831020642</v>
      </c>
      <c r="AK38" s="13">
        <v>8.6498690904022855</v>
      </c>
      <c r="AL38" s="13">
        <v>8.5145522706288492</v>
      </c>
      <c r="AM38" s="13">
        <v>8.9888625000495619</v>
      </c>
      <c r="AN38" s="13">
        <v>9.8685426049679599</v>
      </c>
      <c r="AO38" s="66">
        <v>11.10246510627378</v>
      </c>
      <c r="AP38" s="66">
        <v>14.613521848223376</v>
      </c>
      <c r="AQ38" s="66">
        <v>11.498630246779186</v>
      </c>
      <c r="AR38" s="66">
        <v>13.882095568674181</v>
      </c>
      <c r="AS38" s="66">
        <v>13.099962239529155</v>
      </c>
      <c r="AT38" s="66">
        <f t="shared" si="65"/>
        <v>8.1137916673573223</v>
      </c>
      <c r="AU38" s="13"/>
      <c r="AV38" s="13"/>
      <c r="AW38" s="13"/>
      <c r="AY38" s="36">
        <v>1994</v>
      </c>
      <c r="AZ38" s="37">
        <f t="shared" si="14"/>
        <v>2921.9500000000003</v>
      </c>
      <c r="BA38" s="37">
        <f t="shared" si="15"/>
        <v>2669.0439999999999</v>
      </c>
      <c r="BB38" s="37">
        <f t="shared" si="60"/>
        <v>2606.6640000000002</v>
      </c>
      <c r="BC38" s="37">
        <f t="shared" si="61"/>
        <v>2296.23</v>
      </c>
      <c r="BD38" s="37">
        <f t="shared" si="62"/>
        <v>2267.09</v>
      </c>
      <c r="BE38" s="37">
        <f t="shared" si="63"/>
        <v>2228.386</v>
      </c>
      <c r="BF38" s="37">
        <f t="shared" si="66"/>
        <v>2392.1414619926954</v>
      </c>
      <c r="BG38" s="37">
        <f t="shared" si="67"/>
        <v>2876.7699764239328</v>
      </c>
      <c r="BH38" s="37">
        <f t="shared" si="68"/>
        <v>2055.0452488708902</v>
      </c>
      <c r="BI38" s="37">
        <f t="shared" si="69"/>
        <v>2469.2206641468215</v>
      </c>
      <c r="BJ38" s="37">
        <f t="shared" si="70"/>
        <v>2126.9246480132178</v>
      </c>
      <c r="BK38" s="36">
        <f t="shared" si="16"/>
        <v>26909465.999447558</v>
      </c>
      <c r="BL38" s="36">
        <v>68035647</v>
      </c>
      <c r="BM38" s="38">
        <f t="shared" si="17"/>
        <v>94945112.999447554</v>
      </c>
      <c r="BN38" s="38">
        <v>94945112.999447554</v>
      </c>
      <c r="BO38" s="39">
        <f t="shared" si="18"/>
        <v>94945112.999447554</v>
      </c>
      <c r="BP38" s="39">
        <f t="shared" si="19"/>
        <v>94945112.999447554</v>
      </c>
      <c r="BQ38" s="39">
        <f t="shared" si="20"/>
        <v>94945112.999447554</v>
      </c>
      <c r="BR38" s="36"/>
      <c r="BS38" s="37">
        <v>15</v>
      </c>
      <c r="BT38" s="36"/>
      <c r="BU38" s="36"/>
      <c r="BV38" s="36"/>
      <c r="BX38" s="15">
        <v>1994</v>
      </c>
      <c r="BY38" s="16">
        <v>496.80500000000001</v>
      </c>
      <c r="BZ38" s="16">
        <v>366.601</v>
      </c>
      <c r="CA38" s="16">
        <v>301.35300000000001</v>
      </c>
      <c r="CB38" s="16">
        <v>269.68299999999999</v>
      </c>
      <c r="CC38" s="16">
        <v>252.21100000000001</v>
      </c>
      <c r="CD38" s="16">
        <v>225.80699999999999</v>
      </c>
      <c r="CE38" s="59">
        <v>215.46039002103637</v>
      </c>
      <c r="CF38" s="59">
        <v>196.85671984496148</v>
      </c>
      <c r="CG38" s="59">
        <v>178.72087411859485</v>
      </c>
      <c r="CH38" s="59">
        <v>177.8708878592345</v>
      </c>
      <c r="CI38" s="59">
        <v>162.36112815617281</v>
      </c>
      <c r="CK38" s="21">
        <v>1994</v>
      </c>
      <c r="CL38" s="24">
        <v>496.80500000000001</v>
      </c>
      <c r="CM38" s="24">
        <v>366.601</v>
      </c>
      <c r="CN38" s="24">
        <v>301.35300000000001</v>
      </c>
      <c r="CO38" s="24">
        <v>269.68299999999999</v>
      </c>
      <c r="CP38" s="24">
        <v>252.21100000000001</v>
      </c>
      <c r="CQ38" s="24">
        <v>225.80699999999999</v>
      </c>
      <c r="CR38" s="5">
        <v>215.46039002103637</v>
      </c>
      <c r="CS38" s="5">
        <v>196.85671984496148</v>
      </c>
      <c r="CT38" s="5">
        <v>178.72087411859485</v>
      </c>
      <c r="CU38" s="5">
        <v>177.8708878592345</v>
      </c>
      <c r="CV38" s="5">
        <v>162.36112815617281</v>
      </c>
      <c r="CX38" s="11">
        <v>1994</v>
      </c>
      <c r="CY38" s="13">
        <v>5.881482674288705</v>
      </c>
      <c r="CZ38" s="13">
        <v>7.2805147831020642</v>
      </c>
      <c r="DA38" s="13">
        <v>8.6498690904022855</v>
      </c>
      <c r="DB38" s="13">
        <v>8.5145522706288492</v>
      </c>
      <c r="DC38" s="13">
        <v>8.9888625000495619</v>
      </c>
      <c r="DD38" s="13">
        <v>9.8685426049679599</v>
      </c>
      <c r="DE38" s="66">
        <v>11.10246510627378</v>
      </c>
      <c r="DF38" s="66">
        <v>14.613521848223376</v>
      </c>
      <c r="DG38" s="66">
        <v>11.498630246779186</v>
      </c>
      <c r="DH38" s="66">
        <v>13.882095568674181</v>
      </c>
      <c r="DI38" s="66">
        <v>13.099962239529155</v>
      </c>
      <c r="DK38" s="15">
        <v>1994</v>
      </c>
      <c r="DL38" s="16">
        <f t="shared" si="21"/>
        <v>2921.9500000000003</v>
      </c>
      <c r="DM38" s="16">
        <f t="shared" si="22"/>
        <v>2669.0439999999999</v>
      </c>
      <c r="DN38" s="16">
        <f t="shared" si="23"/>
        <v>2606.6640000000002</v>
      </c>
      <c r="DO38" s="16">
        <f t="shared" si="24"/>
        <v>2296.23</v>
      </c>
      <c r="DP38" s="16">
        <f t="shared" si="25"/>
        <v>2267.09</v>
      </c>
      <c r="DQ38" s="16">
        <f t="shared" si="26"/>
        <v>2228.386</v>
      </c>
      <c r="DR38" s="16">
        <f t="shared" si="27"/>
        <v>2392.1414619926954</v>
      </c>
      <c r="DS38" s="16">
        <f t="shared" si="28"/>
        <v>2876.7699764239328</v>
      </c>
      <c r="DT38" s="16">
        <f t="shared" si="29"/>
        <v>2055.0452488708902</v>
      </c>
      <c r="DU38" s="16">
        <f t="shared" si="30"/>
        <v>2469.2206641468215</v>
      </c>
      <c r="DV38" s="16">
        <f t="shared" si="31"/>
        <v>2126.9246480132178</v>
      </c>
      <c r="DW38" s="15">
        <f t="shared" si="32"/>
        <v>26909465.999447558</v>
      </c>
      <c r="DX38" s="15">
        <v>68035647</v>
      </c>
      <c r="DY38" s="15">
        <f t="shared" si="33"/>
        <v>94945112.999447554</v>
      </c>
      <c r="EA38" s="21">
        <v>1994</v>
      </c>
      <c r="EB38" s="24">
        <f t="shared" si="34"/>
        <v>2921.9500000000003</v>
      </c>
      <c r="EC38" s="24">
        <f t="shared" si="35"/>
        <v>2669.0439999999999</v>
      </c>
      <c r="ED38" s="24">
        <f t="shared" si="36"/>
        <v>2606.6640000000002</v>
      </c>
      <c r="EE38" s="24">
        <f t="shared" si="37"/>
        <v>2296.23</v>
      </c>
      <c r="EF38" s="24">
        <f t="shared" si="38"/>
        <v>2267.09</v>
      </c>
      <c r="EG38" s="24">
        <f t="shared" si="39"/>
        <v>2228.386</v>
      </c>
      <c r="EH38" s="24">
        <f t="shared" si="40"/>
        <v>2392.1414619926954</v>
      </c>
      <c r="EI38" s="24">
        <f t="shared" si="41"/>
        <v>2876.7699764239328</v>
      </c>
      <c r="EJ38" s="24">
        <f t="shared" si="42"/>
        <v>2055.0452488708902</v>
      </c>
      <c r="EK38" s="24">
        <f t="shared" si="43"/>
        <v>2469.2206641468215</v>
      </c>
      <c r="EL38" s="24">
        <f t="shared" si="44"/>
        <v>2126.9246480132178</v>
      </c>
      <c r="EM38" s="21">
        <f t="shared" si="45"/>
        <v>26909465.999447558</v>
      </c>
      <c r="EN38" s="21">
        <v>68035647</v>
      </c>
      <c r="EO38" s="21">
        <f t="shared" si="46"/>
        <v>94945112.999447554</v>
      </c>
      <c r="EQ38" s="11">
        <v>1994</v>
      </c>
      <c r="ER38" s="11">
        <f t="shared" si="47"/>
        <v>2921.9500000000003</v>
      </c>
      <c r="ES38" s="11">
        <f t="shared" si="48"/>
        <v>2669.0439999999999</v>
      </c>
      <c r="ET38" s="11">
        <f t="shared" si="49"/>
        <v>2606.6640000000002</v>
      </c>
      <c r="EU38" s="11">
        <f t="shared" si="50"/>
        <v>2296.23</v>
      </c>
      <c r="EV38" s="11">
        <f t="shared" si="51"/>
        <v>2267.09</v>
      </c>
      <c r="EW38" s="11">
        <f t="shared" si="52"/>
        <v>2228.386</v>
      </c>
      <c r="EX38" s="11">
        <f t="shared" si="53"/>
        <v>2392.1414619926954</v>
      </c>
      <c r="EY38" s="11">
        <f t="shared" si="54"/>
        <v>2876.7699764239328</v>
      </c>
      <c r="EZ38" s="11">
        <f t="shared" si="55"/>
        <v>2055.0452488708902</v>
      </c>
      <c r="FA38" s="11">
        <f t="shared" si="56"/>
        <v>2469.2206641468215</v>
      </c>
      <c r="FB38" s="11">
        <f t="shared" si="57"/>
        <v>2126.9246480132178</v>
      </c>
      <c r="FC38" s="11">
        <f t="shared" si="58"/>
        <v>26909465.999447558</v>
      </c>
      <c r="FD38" s="11">
        <v>68035647</v>
      </c>
      <c r="FE38" s="11">
        <f t="shared" si="59"/>
        <v>94945112.999447554</v>
      </c>
    </row>
    <row r="39" spans="1:161" x14ac:dyDescent="0.3">
      <c r="A39" s="15">
        <v>1995</v>
      </c>
      <c r="B39" s="16">
        <v>512.61900000000003</v>
      </c>
      <c r="C39" s="16">
        <v>382.899</v>
      </c>
      <c r="D39" s="16">
        <v>311.15499999999997</v>
      </c>
      <c r="E39" s="16">
        <v>264.66000000000003</v>
      </c>
      <c r="F39" s="16">
        <v>241.97</v>
      </c>
      <c r="G39" s="16">
        <v>228.8</v>
      </c>
      <c r="H39" s="59">
        <v>212.89400312015829</v>
      </c>
      <c r="I39" s="59">
        <v>193.61473945732024</v>
      </c>
      <c r="J39" s="59">
        <v>178.50526292611602</v>
      </c>
      <c r="K39" s="59">
        <v>162.88775855013662</v>
      </c>
      <c r="L39" s="59">
        <v>165.67723594626884</v>
      </c>
      <c r="M39" s="16"/>
      <c r="N39" s="15"/>
      <c r="O39" s="15"/>
      <c r="P39" s="15"/>
      <c r="R39" s="21">
        <v>1995</v>
      </c>
      <c r="S39" s="23">
        <v>0.7812974178569283</v>
      </c>
      <c r="T39" s="23">
        <v>0.8390802011859041</v>
      </c>
      <c r="U39" s="23">
        <v>0.86838963198065444</v>
      </c>
      <c r="V39" s="23">
        <v>0.8883580609166426</v>
      </c>
      <c r="W39" s="23">
        <v>0.89721153846153845</v>
      </c>
      <c r="X39" s="60">
        <v>0.90355349479865543</v>
      </c>
      <c r="Y39" s="60">
        <v>0.91153126391596562</v>
      </c>
      <c r="Z39" s="60">
        <v>0.91981687963811332</v>
      </c>
      <c r="AA39" s="60">
        <v>0.92451457366839707</v>
      </c>
      <c r="AB39" s="60">
        <v>0.94484063300625665</v>
      </c>
      <c r="AC39" s="60">
        <f t="shared" si="64"/>
        <v>0.87512706819784503</v>
      </c>
      <c r="AD39" s="21"/>
      <c r="AE39" s="21"/>
      <c r="AF39" s="21"/>
      <c r="AH39" s="11">
        <v>1995</v>
      </c>
      <c r="AI39" s="13">
        <v>5.7965448022800556</v>
      </c>
      <c r="AJ39" s="13">
        <v>7.6331800291983001</v>
      </c>
      <c r="AK39" s="13">
        <v>8.1938198004210125</v>
      </c>
      <c r="AL39" s="13">
        <v>9.2107118567218311</v>
      </c>
      <c r="AM39" s="13">
        <v>9.3281233210728605</v>
      </c>
      <c r="AN39" s="13">
        <v>9.7558610139860136</v>
      </c>
      <c r="AO39" s="66">
        <v>10.715621697345405</v>
      </c>
      <c r="AP39" s="66">
        <v>12.055459529243612</v>
      </c>
      <c r="AQ39" s="66">
        <v>15.867892358555808</v>
      </c>
      <c r="AR39" s="66">
        <v>12.485630015936808</v>
      </c>
      <c r="AS39" s="66">
        <v>15.073683160208692</v>
      </c>
      <c r="AT39" s="66">
        <f t="shared" si="65"/>
        <v>7.8175568721683515</v>
      </c>
      <c r="AU39" s="13"/>
      <c r="AV39" s="13"/>
      <c r="AW39" s="13"/>
      <c r="AY39" s="36">
        <v>1995</v>
      </c>
      <c r="AZ39" s="37">
        <f t="shared" si="14"/>
        <v>2971.4189999999999</v>
      </c>
      <c r="BA39" s="37">
        <f t="shared" si="15"/>
        <v>2922.7370000000001</v>
      </c>
      <c r="BB39" s="37">
        <f t="shared" si="60"/>
        <v>2549.5479999999998</v>
      </c>
      <c r="BC39" s="37">
        <f t="shared" si="61"/>
        <v>2437.7069999999999</v>
      </c>
      <c r="BD39" s="37">
        <f t="shared" si="62"/>
        <v>2257.1260000000002</v>
      </c>
      <c r="BE39" s="37">
        <f t="shared" si="63"/>
        <v>2232.1410000000001</v>
      </c>
      <c r="BF39" s="37">
        <f t="shared" si="66"/>
        <v>2281.2915990690885</v>
      </c>
      <c r="BG39" s="37">
        <f t="shared" si="67"/>
        <v>2334.1146557927705</v>
      </c>
      <c r="BH39" s="37">
        <f t="shared" si="68"/>
        <v>2832.5022975473116</v>
      </c>
      <c r="BI39" s="37">
        <f t="shared" si="69"/>
        <v>2033.7562873822533</v>
      </c>
      <c r="BJ39" s="37">
        <f t="shared" si="70"/>
        <v>2497.3661615131946</v>
      </c>
      <c r="BK39" s="36">
        <f t="shared" si="16"/>
        <v>27349709.001304619</v>
      </c>
      <c r="BL39" s="36">
        <v>71135757</v>
      </c>
      <c r="BM39" s="38">
        <f t="shared" si="17"/>
        <v>98485466.001304626</v>
      </c>
      <c r="BN39" s="38">
        <v>98485466.001304626</v>
      </c>
      <c r="BO39" s="39">
        <f t="shared" si="18"/>
        <v>98485466.001304626</v>
      </c>
      <c r="BP39" s="39">
        <f t="shared" si="19"/>
        <v>98485466.001304626</v>
      </c>
      <c r="BQ39" s="39">
        <f t="shared" si="20"/>
        <v>98485466.001304626</v>
      </c>
      <c r="BR39" s="36"/>
      <c r="BS39" s="37">
        <v>16</v>
      </c>
      <c r="BT39" s="36"/>
      <c r="BU39" s="36"/>
      <c r="BV39" s="36"/>
      <c r="BX39" s="15">
        <v>1995</v>
      </c>
      <c r="BY39" s="16">
        <v>512.61900000000003</v>
      </c>
      <c r="BZ39" s="16">
        <v>382.899</v>
      </c>
      <c r="CA39" s="16">
        <v>311.15499999999997</v>
      </c>
      <c r="CB39" s="16">
        <v>264.66000000000003</v>
      </c>
      <c r="CC39" s="16">
        <v>241.97</v>
      </c>
      <c r="CD39" s="16">
        <v>228.8</v>
      </c>
      <c r="CE39" s="59">
        <v>212.89400312015829</v>
      </c>
      <c r="CF39" s="59">
        <v>193.61473945732024</v>
      </c>
      <c r="CG39" s="59">
        <v>178.50526292611602</v>
      </c>
      <c r="CH39" s="59">
        <v>162.88775855013662</v>
      </c>
      <c r="CI39" s="59">
        <v>165.67723594626884</v>
      </c>
      <c r="CK39" s="21">
        <v>1995</v>
      </c>
      <c r="CL39" s="24">
        <v>512.61900000000003</v>
      </c>
      <c r="CM39" s="24">
        <v>382.899</v>
      </c>
      <c r="CN39" s="24">
        <v>311.15499999999997</v>
      </c>
      <c r="CO39" s="24">
        <v>264.66000000000003</v>
      </c>
      <c r="CP39" s="24">
        <v>241.97</v>
      </c>
      <c r="CQ39" s="24">
        <v>228.8</v>
      </c>
      <c r="CR39" s="5">
        <v>212.89400312015829</v>
      </c>
      <c r="CS39" s="5">
        <v>193.61473945732024</v>
      </c>
      <c r="CT39" s="5">
        <v>178.50526292611602</v>
      </c>
      <c r="CU39" s="5">
        <v>162.88775855013662</v>
      </c>
      <c r="CV39" s="5">
        <v>165.67723594626884</v>
      </c>
      <c r="CX39" s="11">
        <v>1995</v>
      </c>
      <c r="CY39" s="13">
        <v>5.7965448022800556</v>
      </c>
      <c r="CZ39" s="13">
        <v>7.6331800291983001</v>
      </c>
      <c r="DA39" s="13">
        <v>8.1938198004210125</v>
      </c>
      <c r="DB39" s="13">
        <v>9.2107118567218311</v>
      </c>
      <c r="DC39" s="13">
        <v>9.3281233210728605</v>
      </c>
      <c r="DD39" s="13">
        <v>9.7558610139860136</v>
      </c>
      <c r="DE39" s="66">
        <v>10.715621697345405</v>
      </c>
      <c r="DF39" s="66">
        <v>12.055459529243612</v>
      </c>
      <c r="DG39" s="66">
        <v>15.867892358555808</v>
      </c>
      <c r="DH39" s="66">
        <v>12.485630015936808</v>
      </c>
      <c r="DI39" s="66">
        <v>15.073683160208692</v>
      </c>
      <c r="DK39" s="15">
        <v>1995</v>
      </c>
      <c r="DL39" s="16">
        <f t="shared" si="21"/>
        <v>2971.4189999999999</v>
      </c>
      <c r="DM39" s="16">
        <f t="shared" si="22"/>
        <v>2922.7370000000001</v>
      </c>
      <c r="DN39" s="16">
        <f t="shared" si="23"/>
        <v>2549.5479999999998</v>
      </c>
      <c r="DO39" s="16">
        <f t="shared" si="24"/>
        <v>2437.7069999999999</v>
      </c>
      <c r="DP39" s="16">
        <f t="shared" si="25"/>
        <v>2257.1260000000002</v>
      </c>
      <c r="DQ39" s="16">
        <f t="shared" si="26"/>
        <v>2232.1410000000001</v>
      </c>
      <c r="DR39" s="16">
        <f t="shared" si="27"/>
        <v>2281.2915990690885</v>
      </c>
      <c r="DS39" s="16">
        <f t="shared" si="28"/>
        <v>2334.1146557927705</v>
      </c>
      <c r="DT39" s="16">
        <f t="shared" si="29"/>
        <v>2832.5022975473116</v>
      </c>
      <c r="DU39" s="16">
        <f t="shared" si="30"/>
        <v>2033.7562873822533</v>
      </c>
      <c r="DV39" s="16">
        <f t="shared" si="31"/>
        <v>2497.3661615131946</v>
      </c>
      <c r="DW39" s="15">
        <f t="shared" si="32"/>
        <v>27349709.001304619</v>
      </c>
      <c r="DX39" s="15">
        <v>71135757</v>
      </c>
      <c r="DY39" s="15">
        <f t="shared" si="33"/>
        <v>98485466.001304626</v>
      </c>
      <c r="EA39" s="21">
        <v>1995</v>
      </c>
      <c r="EB39" s="24">
        <f t="shared" si="34"/>
        <v>2971.4189999999999</v>
      </c>
      <c r="EC39" s="24">
        <f t="shared" si="35"/>
        <v>2922.7370000000001</v>
      </c>
      <c r="ED39" s="24">
        <f t="shared" si="36"/>
        <v>2549.5479999999998</v>
      </c>
      <c r="EE39" s="24">
        <f t="shared" si="37"/>
        <v>2437.7069999999999</v>
      </c>
      <c r="EF39" s="24">
        <f t="shared" si="38"/>
        <v>2257.1260000000002</v>
      </c>
      <c r="EG39" s="24">
        <f t="shared" si="39"/>
        <v>2232.1410000000001</v>
      </c>
      <c r="EH39" s="24">
        <f t="shared" si="40"/>
        <v>2281.2915990690885</v>
      </c>
      <c r="EI39" s="24">
        <f t="shared" si="41"/>
        <v>2334.1146557927705</v>
      </c>
      <c r="EJ39" s="24">
        <f t="shared" si="42"/>
        <v>2832.5022975473116</v>
      </c>
      <c r="EK39" s="24">
        <f t="shared" si="43"/>
        <v>2033.7562873822533</v>
      </c>
      <c r="EL39" s="24">
        <f t="shared" si="44"/>
        <v>2497.3661615131946</v>
      </c>
      <c r="EM39" s="21">
        <f t="shared" si="45"/>
        <v>27349709.001304619</v>
      </c>
      <c r="EN39" s="21">
        <v>71135757</v>
      </c>
      <c r="EO39" s="21">
        <f t="shared" si="46"/>
        <v>98485466.001304626</v>
      </c>
      <c r="EQ39" s="11">
        <v>1995</v>
      </c>
      <c r="ER39" s="11">
        <f t="shared" si="47"/>
        <v>2971.4189999999999</v>
      </c>
      <c r="ES39" s="11">
        <f t="shared" si="48"/>
        <v>2922.7370000000001</v>
      </c>
      <c r="ET39" s="11">
        <f t="shared" si="49"/>
        <v>2549.5479999999998</v>
      </c>
      <c r="EU39" s="11">
        <f t="shared" si="50"/>
        <v>2437.7069999999999</v>
      </c>
      <c r="EV39" s="11">
        <f t="shared" si="51"/>
        <v>2257.1260000000002</v>
      </c>
      <c r="EW39" s="11">
        <f t="shared" si="52"/>
        <v>2232.1410000000001</v>
      </c>
      <c r="EX39" s="11">
        <f t="shared" si="53"/>
        <v>2281.2915990690885</v>
      </c>
      <c r="EY39" s="11">
        <f t="shared" si="54"/>
        <v>2334.1146557927705</v>
      </c>
      <c r="EZ39" s="11">
        <f t="shared" si="55"/>
        <v>2832.5022975473116</v>
      </c>
      <c r="FA39" s="11">
        <f t="shared" si="56"/>
        <v>2033.7562873822533</v>
      </c>
      <c r="FB39" s="11">
        <f t="shared" si="57"/>
        <v>2497.3661615131946</v>
      </c>
      <c r="FC39" s="11">
        <f t="shared" si="58"/>
        <v>27349709.001304619</v>
      </c>
      <c r="FD39" s="11">
        <v>71135757</v>
      </c>
      <c r="FE39" s="11">
        <f t="shared" si="59"/>
        <v>98485466.001304626</v>
      </c>
    </row>
    <row r="40" spans="1:161" x14ac:dyDescent="0.3">
      <c r="A40" s="15">
        <v>1996</v>
      </c>
      <c r="B40" s="16">
        <v>514.59</v>
      </c>
      <c r="C40" s="16">
        <v>395.78800000000001</v>
      </c>
      <c r="D40" s="16">
        <v>325.39299999999997</v>
      </c>
      <c r="E40" s="16">
        <v>272.976</v>
      </c>
      <c r="F40" s="16">
        <v>236.916</v>
      </c>
      <c r="G40" s="16">
        <v>219.94800000000001</v>
      </c>
      <c r="H40" s="59">
        <v>214.52956418510081</v>
      </c>
      <c r="I40" s="59">
        <v>195.08803111038918</v>
      </c>
      <c r="J40" s="59">
        <v>178.85022813501604</v>
      </c>
      <c r="K40" s="59">
        <v>166.26126632058345</v>
      </c>
      <c r="L40" s="59">
        <v>152.42291024891045</v>
      </c>
      <c r="M40" s="16"/>
      <c r="N40" s="15"/>
      <c r="O40" s="15"/>
      <c r="P40" s="15"/>
      <c r="R40" s="21">
        <v>1996</v>
      </c>
      <c r="S40" s="23">
        <v>0.78159267082377437</v>
      </c>
      <c r="T40" s="23">
        <v>0.83879800733267151</v>
      </c>
      <c r="U40" s="23">
        <v>0.86468041146474417</v>
      </c>
      <c r="V40" s="23">
        <v>0.88308092319640719</v>
      </c>
      <c r="W40" s="23">
        <v>0.89668467092221804</v>
      </c>
      <c r="X40" s="60">
        <v>0.90543461538461534</v>
      </c>
      <c r="Y40" s="60">
        <v>0.91126921521476301</v>
      </c>
      <c r="Z40" s="60">
        <v>0.91860876280268844</v>
      </c>
      <c r="AA40" s="60">
        <v>0.9262315292670642</v>
      </c>
      <c r="AB40" s="60">
        <v>0.93055340777492535</v>
      </c>
      <c r="AC40" s="60">
        <f t="shared" si="64"/>
        <v>0.87224672776573087</v>
      </c>
      <c r="AD40" s="21"/>
      <c r="AE40" s="21"/>
      <c r="AF40" s="21"/>
      <c r="AH40" s="11">
        <v>1996</v>
      </c>
      <c r="AI40" s="13">
        <v>5.8092248197594198</v>
      </c>
      <c r="AJ40" s="13">
        <v>7.4393690561613797</v>
      </c>
      <c r="AK40" s="13">
        <v>8.2745664473421368</v>
      </c>
      <c r="AL40" s="13">
        <v>8.83501113651017</v>
      </c>
      <c r="AM40" s="13">
        <v>9.7534062705769138</v>
      </c>
      <c r="AN40" s="13">
        <v>9.919471875170494</v>
      </c>
      <c r="AO40" s="66">
        <v>10.452717277805421</v>
      </c>
      <c r="AP40" s="66">
        <v>11.48103318586592</v>
      </c>
      <c r="AQ40" s="66">
        <v>12.916574962738533</v>
      </c>
      <c r="AR40" s="66">
        <v>17.001327958737019</v>
      </c>
      <c r="AS40" s="66">
        <v>13.377472311748919</v>
      </c>
      <c r="AT40" s="66">
        <f t="shared" si="65"/>
        <v>7.8084265485105293</v>
      </c>
      <c r="AU40" s="13"/>
      <c r="AV40" s="13"/>
      <c r="AW40" s="13"/>
      <c r="AY40" s="36">
        <v>1996</v>
      </c>
      <c r="AZ40" s="37">
        <f t="shared" si="14"/>
        <v>2989.3690000000001</v>
      </c>
      <c r="BA40" s="37">
        <f t="shared" si="15"/>
        <v>2944.413</v>
      </c>
      <c r="BB40" s="37">
        <f t="shared" si="60"/>
        <v>2692.4859999999999</v>
      </c>
      <c r="BC40" s="37">
        <f t="shared" si="61"/>
        <v>2411.7460000000001</v>
      </c>
      <c r="BD40" s="37">
        <f t="shared" si="62"/>
        <v>2310.7380000000003</v>
      </c>
      <c r="BE40" s="37">
        <f t="shared" si="63"/>
        <v>2181.768</v>
      </c>
      <c r="BF40" s="37">
        <f t="shared" si="66"/>
        <v>2242.4168821576704</v>
      </c>
      <c r="BG40" s="37">
        <f t="shared" si="67"/>
        <v>2239.8121593436213</v>
      </c>
      <c r="BH40" s="37">
        <f t="shared" si="68"/>
        <v>2310.132378808823</v>
      </c>
      <c r="BI40" s="37">
        <f t="shared" si="69"/>
        <v>2826.6623155511566</v>
      </c>
      <c r="BJ40" s="37">
        <f t="shared" si="70"/>
        <v>2039.0332615309901</v>
      </c>
      <c r="BK40" s="36">
        <f t="shared" si="16"/>
        <v>27188576.997392263</v>
      </c>
      <c r="BL40" s="36">
        <v>73155974</v>
      </c>
      <c r="BM40" s="38">
        <f t="shared" si="17"/>
        <v>100344550.99739227</v>
      </c>
      <c r="BN40" s="38">
        <v>100344550.99739227</v>
      </c>
      <c r="BO40" s="39">
        <f t="shared" si="18"/>
        <v>100344550.99739227</v>
      </c>
      <c r="BP40" s="39">
        <f t="shared" si="19"/>
        <v>100344550.99739227</v>
      </c>
      <c r="BQ40" s="39">
        <f t="shared" si="20"/>
        <v>100344550.99739227</v>
      </c>
      <c r="BR40" s="36"/>
      <c r="BS40" s="37">
        <v>17</v>
      </c>
      <c r="BT40" s="36"/>
      <c r="BU40" s="36"/>
      <c r="BV40" s="36"/>
      <c r="BX40" s="15">
        <v>1996</v>
      </c>
      <c r="BY40" s="16">
        <v>514.59</v>
      </c>
      <c r="BZ40" s="16">
        <v>395.78800000000001</v>
      </c>
      <c r="CA40" s="16">
        <v>325.39299999999997</v>
      </c>
      <c r="CB40" s="16">
        <v>272.976</v>
      </c>
      <c r="CC40" s="16">
        <v>236.916</v>
      </c>
      <c r="CD40" s="16">
        <v>219.94800000000001</v>
      </c>
      <c r="CE40" s="59">
        <v>214.52956418510081</v>
      </c>
      <c r="CF40" s="59">
        <v>195.08803111038918</v>
      </c>
      <c r="CG40" s="59">
        <v>178.85022813501604</v>
      </c>
      <c r="CH40" s="59">
        <v>166.26126632058345</v>
      </c>
      <c r="CI40" s="59">
        <v>152.42291024891045</v>
      </c>
      <c r="CK40" s="21">
        <v>1996</v>
      </c>
      <c r="CL40" s="24">
        <v>514.59</v>
      </c>
      <c r="CM40" s="24">
        <v>395.78800000000001</v>
      </c>
      <c r="CN40" s="24">
        <v>325.39299999999997</v>
      </c>
      <c r="CO40" s="24">
        <v>272.976</v>
      </c>
      <c r="CP40" s="24">
        <v>236.916</v>
      </c>
      <c r="CQ40" s="24">
        <v>219.94800000000001</v>
      </c>
      <c r="CR40" s="5">
        <v>214.52956418510081</v>
      </c>
      <c r="CS40" s="5">
        <v>195.08803111038918</v>
      </c>
      <c r="CT40" s="5">
        <v>178.85022813501604</v>
      </c>
      <c r="CU40" s="5">
        <v>166.26126632058345</v>
      </c>
      <c r="CV40" s="5">
        <v>152.42291024891045</v>
      </c>
      <c r="CX40" s="11">
        <v>1996</v>
      </c>
      <c r="CY40" s="13">
        <v>5.8092248197594198</v>
      </c>
      <c r="CZ40" s="13">
        <v>7.4393690561613797</v>
      </c>
      <c r="DA40" s="13">
        <v>8.2745664473421368</v>
      </c>
      <c r="DB40" s="13">
        <v>8.83501113651017</v>
      </c>
      <c r="DC40" s="13">
        <v>9.7534062705769138</v>
      </c>
      <c r="DD40" s="13">
        <v>9.919471875170494</v>
      </c>
      <c r="DE40" s="66">
        <v>10.452717277805421</v>
      </c>
      <c r="DF40" s="66">
        <v>11.48103318586592</v>
      </c>
      <c r="DG40" s="66">
        <v>12.916574962738533</v>
      </c>
      <c r="DH40" s="66">
        <v>17.001327958737019</v>
      </c>
      <c r="DI40" s="66">
        <v>13.377472311748919</v>
      </c>
      <c r="DK40" s="15">
        <v>1996</v>
      </c>
      <c r="DL40" s="16">
        <f t="shared" si="21"/>
        <v>2989.3690000000001</v>
      </c>
      <c r="DM40" s="16">
        <f t="shared" si="22"/>
        <v>2944.413</v>
      </c>
      <c r="DN40" s="16">
        <f t="shared" si="23"/>
        <v>2692.4859999999999</v>
      </c>
      <c r="DO40" s="16">
        <f t="shared" si="24"/>
        <v>2411.7460000000001</v>
      </c>
      <c r="DP40" s="16">
        <f t="shared" si="25"/>
        <v>2310.7380000000003</v>
      </c>
      <c r="DQ40" s="16">
        <f t="shared" si="26"/>
        <v>2181.768</v>
      </c>
      <c r="DR40" s="16">
        <f t="shared" si="27"/>
        <v>2242.4168821576704</v>
      </c>
      <c r="DS40" s="16">
        <f t="shared" si="28"/>
        <v>2239.8121593436213</v>
      </c>
      <c r="DT40" s="16">
        <f t="shared" si="29"/>
        <v>2310.132378808823</v>
      </c>
      <c r="DU40" s="16">
        <f t="shared" si="30"/>
        <v>2826.6623155511566</v>
      </c>
      <c r="DV40" s="16">
        <f t="shared" si="31"/>
        <v>2039.0332615309901</v>
      </c>
      <c r="DW40" s="15">
        <f t="shared" si="32"/>
        <v>27188576.997392263</v>
      </c>
      <c r="DX40" s="15">
        <v>73155974</v>
      </c>
      <c r="DY40" s="15">
        <f t="shared" si="33"/>
        <v>100344550.99739227</v>
      </c>
      <c r="EA40" s="21">
        <v>1996</v>
      </c>
      <c r="EB40" s="24">
        <f t="shared" si="34"/>
        <v>2989.3690000000001</v>
      </c>
      <c r="EC40" s="24">
        <f t="shared" si="35"/>
        <v>2944.413</v>
      </c>
      <c r="ED40" s="24">
        <f t="shared" si="36"/>
        <v>2692.4859999999999</v>
      </c>
      <c r="EE40" s="24">
        <f t="shared" si="37"/>
        <v>2411.7460000000001</v>
      </c>
      <c r="EF40" s="24">
        <f t="shared" si="38"/>
        <v>2310.7380000000003</v>
      </c>
      <c r="EG40" s="24">
        <f t="shared" si="39"/>
        <v>2181.768</v>
      </c>
      <c r="EH40" s="24">
        <f t="shared" si="40"/>
        <v>2242.4168821576704</v>
      </c>
      <c r="EI40" s="24">
        <f t="shared" si="41"/>
        <v>2239.8121593436213</v>
      </c>
      <c r="EJ40" s="24">
        <f t="shared" si="42"/>
        <v>2310.132378808823</v>
      </c>
      <c r="EK40" s="24">
        <f t="shared" si="43"/>
        <v>2826.6623155511566</v>
      </c>
      <c r="EL40" s="24">
        <f t="shared" si="44"/>
        <v>2039.0332615309901</v>
      </c>
      <c r="EM40" s="21">
        <f t="shared" si="45"/>
        <v>27188576.997392263</v>
      </c>
      <c r="EN40" s="21">
        <v>73155974</v>
      </c>
      <c r="EO40" s="21">
        <f t="shared" si="46"/>
        <v>100344550.99739227</v>
      </c>
      <c r="EQ40" s="11">
        <v>1996</v>
      </c>
      <c r="ER40" s="11">
        <f t="shared" si="47"/>
        <v>2989.3690000000001</v>
      </c>
      <c r="ES40" s="11">
        <f t="shared" si="48"/>
        <v>2944.413</v>
      </c>
      <c r="ET40" s="11">
        <f t="shared" si="49"/>
        <v>2692.4859999999999</v>
      </c>
      <c r="EU40" s="11">
        <f t="shared" si="50"/>
        <v>2411.7460000000001</v>
      </c>
      <c r="EV40" s="11">
        <f t="shared" si="51"/>
        <v>2310.7380000000003</v>
      </c>
      <c r="EW40" s="11">
        <f t="shared" si="52"/>
        <v>2181.768</v>
      </c>
      <c r="EX40" s="11">
        <f t="shared" si="53"/>
        <v>2242.4168821576704</v>
      </c>
      <c r="EY40" s="11">
        <f t="shared" si="54"/>
        <v>2239.8121593436213</v>
      </c>
      <c r="EZ40" s="11">
        <f t="shared" si="55"/>
        <v>2310.132378808823</v>
      </c>
      <c r="FA40" s="11">
        <f t="shared" si="56"/>
        <v>2826.6623155511566</v>
      </c>
      <c r="FB40" s="11">
        <f t="shared" si="57"/>
        <v>2039.0332615309901</v>
      </c>
      <c r="FC40" s="11">
        <f t="shared" si="58"/>
        <v>27188576.997392263</v>
      </c>
      <c r="FD40" s="11">
        <v>73155974</v>
      </c>
      <c r="FE40" s="11">
        <f t="shared" si="59"/>
        <v>100344550.99739227</v>
      </c>
    </row>
    <row r="41" spans="1:161" x14ac:dyDescent="0.3">
      <c r="A41" s="15">
        <v>1997</v>
      </c>
      <c r="B41" s="16">
        <v>519.87699999999995</v>
      </c>
      <c r="C41" s="16">
        <v>394.262</v>
      </c>
      <c r="D41" s="16">
        <v>333.88499999999999</v>
      </c>
      <c r="E41" s="16">
        <v>283.40100000000001</v>
      </c>
      <c r="F41" s="16">
        <v>242.255</v>
      </c>
      <c r="G41" s="16">
        <v>212.99799999999999</v>
      </c>
      <c r="H41" s="59">
        <v>209.94568909165309</v>
      </c>
      <c r="I41" s="59">
        <v>191.83805943675642</v>
      </c>
      <c r="J41" s="59">
        <v>175.51165096438478</v>
      </c>
      <c r="K41" s="59">
        <v>162.12421430307711</v>
      </c>
      <c r="L41" s="59">
        <v>151.89138620412859</v>
      </c>
      <c r="M41" s="16"/>
      <c r="N41" s="15"/>
      <c r="O41" s="15"/>
      <c r="P41" s="15"/>
      <c r="Q41" s="2"/>
      <c r="R41" s="21">
        <v>1997</v>
      </c>
      <c r="S41" s="23">
        <v>0.77612856425422683</v>
      </c>
      <c r="T41" s="23">
        <v>0.83603336478128698</v>
      </c>
      <c r="U41" s="23">
        <v>0.86244226378876576</v>
      </c>
      <c r="V41" s="23">
        <v>0.87979195475841576</v>
      </c>
      <c r="W41" s="23">
        <v>0.89255298171813824</v>
      </c>
      <c r="X41" s="60">
        <v>0.90216038336334048</v>
      </c>
      <c r="Y41" s="60">
        <v>0.9104465807692308</v>
      </c>
      <c r="Z41" s="60">
        <v>0.91597194680838057</v>
      </c>
      <c r="AA41" s="60">
        <v>0.92292249837414586</v>
      </c>
      <c r="AB41" s="60">
        <v>0.93014125821590987</v>
      </c>
      <c r="AC41" s="60">
        <f t="shared" si="64"/>
        <v>0.86871839303689324</v>
      </c>
      <c r="AD41" s="21"/>
      <c r="AE41" s="21"/>
      <c r="AF41" s="21"/>
      <c r="AH41" s="11">
        <v>1997</v>
      </c>
      <c r="AI41" s="13">
        <v>5.868611229194598</v>
      </c>
      <c r="AJ41" s="13">
        <v>7.5334346196184265</v>
      </c>
      <c r="AK41" s="13">
        <v>8.0190215193854169</v>
      </c>
      <c r="AL41" s="13">
        <v>8.9466586215292114</v>
      </c>
      <c r="AM41" s="13">
        <v>9.3115518771542387</v>
      </c>
      <c r="AN41" s="13">
        <v>10.655776110573807</v>
      </c>
      <c r="AO41" s="66">
        <v>10.459674502803971</v>
      </c>
      <c r="AP41" s="66">
        <v>11.021959815154041</v>
      </c>
      <c r="AQ41" s="66">
        <v>12.106276583196014</v>
      </c>
      <c r="AR41" s="66">
        <v>13.61999625599929</v>
      </c>
      <c r="AS41" s="66">
        <v>17.927200036620235</v>
      </c>
      <c r="AT41" s="66">
        <f t="shared" si="65"/>
        <v>8.3715080374059916</v>
      </c>
      <c r="AU41" s="13"/>
      <c r="AV41" s="13"/>
      <c r="AW41" s="13"/>
      <c r="AY41" s="36">
        <v>1997</v>
      </c>
      <c r="AZ41" s="37">
        <f t="shared" si="14"/>
        <v>3050.9559999999997</v>
      </c>
      <c r="BA41" s="37">
        <f t="shared" si="15"/>
        <v>2970.1469999999999</v>
      </c>
      <c r="BB41" s="37">
        <f t="shared" si="60"/>
        <v>2677.431</v>
      </c>
      <c r="BC41" s="37">
        <f t="shared" si="61"/>
        <v>2535.4920000000002</v>
      </c>
      <c r="BD41" s="37">
        <f t="shared" si="62"/>
        <v>2255.77</v>
      </c>
      <c r="BE41" s="37">
        <f t="shared" si="63"/>
        <v>2269.6589999999997</v>
      </c>
      <c r="BF41" s="37">
        <f t="shared" si="66"/>
        <v>2195.9635711655737</v>
      </c>
      <c r="BG41" s="37">
        <f t="shared" si="67"/>
        <v>2114.4313821290616</v>
      </c>
      <c r="BH41" s="37">
        <f t="shared" si="68"/>
        <v>2124.7925901482035</v>
      </c>
      <c r="BI41" s="37">
        <f t="shared" si="69"/>
        <v>2208.1311918147367</v>
      </c>
      <c r="BJ41" s="37">
        <f t="shared" si="70"/>
        <v>2722.9872643209524</v>
      </c>
      <c r="BK41" s="36">
        <f t="shared" si="16"/>
        <v>27125760.999578532</v>
      </c>
      <c r="BL41" s="36">
        <v>76058978</v>
      </c>
      <c r="BM41" s="38">
        <f t="shared" si="17"/>
        <v>103184738.99957854</v>
      </c>
      <c r="BN41" s="38">
        <v>103184738.99957854</v>
      </c>
      <c r="BO41" s="39">
        <f t="shared" si="18"/>
        <v>103184738.99957854</v>
      </c>
      <c r="BP41" s="39">
        <f t="shared" si="19"/>
        <v>103184738.99957854</v>
      </c>
      <c r="BQ41" s="39">
        <f t="shared" si="20"/>
        <v>103184738.99957854</v>
      </c>
      <c r="BR41" s="36"/>
      <c r="BS41" s="37">
        <v>18</v>
      </c>
      <c r="BT41" s="36"/>
      <c r="BU41" s="36"/>
      <c r="BV41" s="36"/>
      <c r="BX41" s="15">
        <v>1997</v>
      </c>
      <c r="BY41" s="16">
        <v>519.87699999999995</v>
      </c>
      <c r="BZ41" s="16">
        <v>394.262</v>
      </c>
      <c r="CA41" s="16">
        <v>333.88499999999999</v>
      </c>
      <c r="CB41" s="16">
        <v>283.40100000000001</v>
      </c>
      <c r="CC41" s="16">
        <v>242.255</v>
      </c>
      <c r="CD41" s="16">
        <v>212.99799999999999</v>
      </c>
      <c r="CE41" s="59">
        <v>209.94568909165309</v>
      </c>
      <c r="CF41" s="59">
        <v>191.83805943675642</v>
      </c>
      <c r="CG41" s="59">
        <v>175.51165096438478</v>
      </c>
      <c r="CH41" s="59">
        <v>162.12421430307711</v>
      </c>
      <c r="CI41" s="59">
        <v>151.89138620412859</v>
      </c>
      <c r="CK41" s="21">
        <v>1997</v>
      </c>
      <c r="CL41" s="24">
        <v>519.87699999999995</v>
      </c>
      <c r="CM41" s="24">
        <v>394.262</v>
      </c>
      <c r="CN41" s="24">
        <v>333.88499999999999</v>
      </c>
      <c r="CO41" s="24">
        <v>283.40100000000001</v>
      </c>
      <c r="CP41" s="24">
        <v>242.255</v>
      </c>
      <c r="CQ41" s="24">
        <v>212.99799999999999</v>
      </c>
      <c r="CR41" s="5">
        <v>209.94568909165309</v>
      </c>
      <c r="CS41" s="5">
        <v>191.83805943675642</v>
      </c>
      <c r="CT41" s="5">
        <v>175.51165096438478</v>
      </c>
      <c r="CU41" s="5">
        <v>162.12421430307711</v>
      </c>
      <c r="CV41" s="5">
        <v>151.89138620412859</v>
      </c>
      <c r="CX41" s="11">
        <v>1997</v>
      </c>
      <c r="CY41" s="13">
        <v>5.868611229194598</v>
      </c>
      <c r="CZ41" s="13">
        <v>7.5334346196184265</v>
      </c>
      <c r="DA41" s="13">
        <v>8.0190215193854169</v>
      </c>
      <c r="DB41" s="13">
        <v>8.9466586215292114</v>
      </c>
      <c r="DC41" s="13">
        <v>9.3115518771542387</v>
      </c>
      <c r="DD41" s="13">
        <v>10.655776110573807</v>
      </c>
      <c r="DE41" s="66">
        <v>10.459674502803971</v>
      </c>
      <c r="DF41" s="66">
        <v>11.021959815154041</v>
      </c>
      <c r="DG41" s="66">
        <v>12.106276583196014</v>
      </c>
      <c r="DH41" s="66">
        <v>13.61999625599929</v>
      </c>
      <c r="DI41" s="66">
        <v>17.927200036620235</v>
      </c>
      <c r="DK41" s="15">
        <v>1997</v>
      </c>
      <c r="DL41" s="16">
        <f t="shared" si="21"/>
        <v>3050.9559999999997</v>
      </c>
      <c r="DM41" s="16">
        <f t="shared" si="22"/>
        <v>2970.1469999999999</v>
      </c>
      <c r="DN41" s="16">
        <f t="shared" si="23"/>
        <v>2677.431</v>
      </c>
      <c r="DO41" s="16">
        <f t="shared" si="24"/>
        <v>2535.4920000000002</v>
      </c>
      <c r="DP41" s="16">
        <f t="shared" si="25"/>
        <v>2255.77</v>
      </c>
      <c r="DQ41" s="16">
        <f t="shared" si="26"/>
        <v>2269.6589999999997</v>
      </c>
      <c r="DR41" s="16">
        <f t="shared" si="27"/>
        <v>2195.9635711655737</v>
      </c>
      <c r="DS41" s="16">
        <f t="shared" si="28"/>
        <v>2114.4313821290616</v>
      </c>
      <c r="DT41" s="16">
        <f t="shared" si="29"/>
        <v>2124.7925901482035</v>
      </c>
      <c r="DU41" s="16">
        <f t="shared" si="30"/>
        <v>2208.1311918147367</v>
      </c>
      <c r="DV41" s="16">
        <f t="shared" si="31"/>
        <v>2722.9872643209524</v>
      </c>
      <c r="DW41" s="15">
        <f t="shared" si="32"/>
        <v>27125760.999578532</v>
      </c>
      <c r="DX41" s="15">
        <v>76058978</v>
      </c>
      <c r="DY41" s="15">
        <f t="shared" si="33"/>
        <v>103184738.99957854</v>
      </c>
      <c r="EA41" s="21">
        <v>1997</v>
      </c>
      <c r="EB41" s="24">
        <f t="shared" si="34"/>
        <v>3050.9559999999997</v>
      </c>
      <c r="EC41" s="24">
        <f t="shared" si="35"/>
        <v>2970.1469999999999</v>
      </c>
      <c r="ED41" s="24">
        <f t="shared" si="36"/>
        <v>2677.431</v>
      </c>
      <c r="EE41" s="24">
        <f t="shared" si="37"/>
        <v>2535.4920000000002</v>
      </c>
      <c r="EF41" s="24">
        <f t="shared" si="38"/>
        <v>2255.77</v>
      </c>
      <c r="EG41" s="24">
        <f t="shared" si="39"/>
        <v>2269.6589999999997</v>
      </c>
      <c r="EH41" s="24">
        <f t="shared" si="40"/>
        <v>2195.9635711655737</v>
      </c>
      <c r="EI41" s="24">
        <f t="shared" si="41"/>
        <v>2114.4313821290616</v>
      </c>
      <c r="EJ41" s="24">
        <f t="shared" si="42"/>
        <v>2124.7925901482035</v>
      </c>
      <c r="EK41" s="24">
        <f t="shared" si="43"/>
        <v>2208.1311918147367</v>
      </c>
      <c r="EL41" s="24">
        <f t="shared" si="44"/>
        <v>2722.9872643209524</v>
      </c>
      <c r="EM41" s="21">
        <f t="shared" si="45"/>
        <v>27125760.999578532</v>
      </c>
      <c r="EN41" s="21">
        <v>76058978</v>
      </c>
      <c r="EO41" s="21">
        <f t="shared" si="46"/>
        <v>103184738.99957854</v>
      </c>
      <c r="EQ41" s="11">
        <v>1997</v>
      </c>
      <c r="ER41" s="11">
        <f t="shared" si="47"/>
        <v>3050.9559999999997</v>
      </c>
      <c r="ES41" s="11">
        <f t="shared" si="48"/>
        <v>2970.1469999999999</v>
      </c>
      <c r="ET41" s="11">
        <f t="shared" si="49"/>
        <v>2677.431</v>
      </c>
      <c r="EU41" s="11">
        <f t="shared" si="50"/>
        <v>2535.4920000000002</v>
      </c>
      <c r="EV41" s="11">
        <f t="shared" si="51"/>
        <v>2255.77</v>
      </c>
      <c r="EW41" s="11">
        <f t="shared" si="52"/>
        <v>2269.6589999999997</v>
      </c>
      <c r="EX41" s="11">
        <f t="shared" si="53"/>
        <v>2195.9635711655737</v>
      </c>
      <c r="EY41" s="11">
        <f t="shared" si="54"/>
        <v>2114.4313821290616</v>
      </c>
      <c r="EZ41" s="11">
        <f t="shared" si="55"/>
        <v>2124.7925901482035</v>
      </c>
      <c r="FA41" s="11">
        <f t="shared" si="56"/>
        <v>2208.1311918147367</v>
      </c>
      <c r="FB41" s="11">
        <f t="shared" si="57"/>
        <v>2722.9872643209524</v>
      </c>
      <c r="FC41" s="11">
        <f t="shared" si="58"/>
        <v>27125760.999578532</v>
      </c>
      <c r="FD41" s="11">
        <v>76058978</v>
      </c>
      <c r="FE41" s="11">
        <f t="shared" si="59"/>
        <v>103184738.99957854</v>
      </c>
    </row>
    <row r="42" spans="1:161" x14ac:dyDescent="0.3">
      <c r="A42" s="15">
        <v>1998</v>
      </c>
      <c r="B42" s="16">
        <v>514.86900000000003</v>
      </c>
      <c r="C42" s="16">
        <v>396.85500000000002</v>
      </c>
      <c r="D42" s="16">
        <v>332.92500000000001</v>
      </c>
      <c r="E42" s="16">
        <v>291.38</v>
      </c>
      <c r="F42" s="16">
        <v>251.90199999999999</v>
      </c>
      <c r="G42" s="16">
        <v>218.08799999999999</v>
      </c>
      <c r="H42" s="59">
        <v>205.23958849865409</v>
      </c>
      <c r="I42" s="59">
        <v>186.97951816149788</v>
      </c>
      <c r="J42" s="59">
        <v>172.28741656151593</v>
      </c>
      <c r="K42" s="59">
        <v>158.50014047525863</v>
      </c>
      <c r="L42" s="59">
        <v>147.42733630307359</v>
      </c>
      <c r="M42" s="16"/>
      <c r="N42" s="15"/>
      <c r="O42" s="15"/>
      <c r="P42" s="15"/>
      <c r="Q42" s="2"/>
      <c r="R42" s="21">
        <v>1998</v>
      </c>
      <c r="S42" s="23">
        <v>0.76917513953459071</v>
      </c>
      <c r="T42" s="23">
        <v>0.83314259968461368</v>
      </c>
      <c r="U42" s="23">
        <v>0.86254718923742191</v>
      </c>
      <c r="V42" s="23">
        <v>0.87907598986907609</v>
      </c>
      <c r="W42" s="23">
        <v>0.89078720516488752</v>
      </c>
      <c r="X42" s="60">
        <v>0.90093384914412344</v>
      </c>
      <c r="Y42" s="60">
        <v>0.90979187346099988</v>
      </c>
      <c r="Z42" s="60">
        <v>0.91743174746923073</v>
      </c>
      <c r="AA42" s="60">
        <v>0.92252613495732694</v>
      </c>
      <c r="AB42" s="60">
        <v>0.9289345435009625</v>
      </c>
      <c r="AC42" s="60">
        <f t="shared" si="64"/>
        <v>0.86633274597215926</v>
      </c>
      <c r="AD42" s="21"/>
      <c r="AE42" s="21"/>
      <c r="AF42" s="21"/>
      <c r="AH42" s="11">
        <v>1998</v>
      </c>
      <c r="AI42" s="13">
        <v>6.6643010163750391</v>
      </c>
      <c r="AJ42" s="13">
        <v>7.6874475564122919</v>
      </c>
      <c r="AK42" s="13">
        <v>8.2819704137568522</v>
      </c>
      <c r="AL42" s="13">
        <v>8.6374528107625785</v>
      </c>
      <c r="AM42" s="13">
        <v>9.5367682670244776</v>
      </c>
      <c r="AN42" s="13">
        <v>9.9164603279410155</v>
      </c>
      <c r="AO42" s="66">
        <v>11.302128243302421</v>
      </c>
      <c r="AP42" s="66">
        <v>11.094131613424549</v>
      </c>
      <c r="AQ42" s="66">
        <v>11.690523715094152</v>
      </c>
      <c r="AR42" s="66">
        <v>12.840612365756844</v>
      </c>
      <c r="AS42" s="66">
        <v>14.446150403427865</v>
      </c>
      <c r="AT42" s="66">
        <f t="shared" si="65"/>
        <v>7.7910219960936615</v>
      </c>
      <c r="AU42" s="13"/>
      <c r="AV42" s="13"/>
      <c r="AW42" s="13"/>
      <c r="AY42" s="36">
        <v>1998</v>
      </c>
      <c r="AZ42" s="37">
        <f t="shared" si="14"/>
        <v>3431.2420000000002</v>
      </c>
      <c r="BA42" s="37">
        <f t="shared" si="15"/>
        <v>3050.8020000000001</v>
      </c>
      <c r="BB42" s="37">
        <f t="shared" si="60"/>
        <v>2757.2750000000001</v>
      </c>
      <c r="BC42" s="37">
        <f t="shared" si="61"/>
        <v>2516.7809999999999</v>
      </c>
      <c r="BD42" s="37">
        <f t="shared" si="62"/>
        <v>2402.3309999999997</v>
      </c>
      <c r="BE42" s="37">
        <f t="shared" si="63"/>
        <v>2162.6610000000001</v>
      </c>
      <c r="BF42" s="37">
        <f t="shared" si="66"/>
        <v>2319.644149814405</v>
      </c>
      <c r="BG42" s="37">
        <f t="shared" si="67"/>
        <v>2074.3753834983631</v>
      </c>
      <c r="BH42" s="37">
        <f t="shared" si="68"/>
        <v>2014.1301291247069</v>
      </c>
      <c r="BI42" s="37">
        <f t="shared" si="69"/>
        <v>2035.2388637608028</v>
      </c>
      <c r="BJ42" s="37">
        <f t="shared" si="70"/>
        <v>2129.757473810942</v>
      </c>
      <c r="BK42" s="36">
        <f t="shared" si="16"/>
        <v>26894238.000009216</v>
      </c>
      <c r="BL42" s="36">
        <v>79378660</v>
      </c>
      <c r="BM42" s="38">
        <f t="shared" si="17"/>
        <v>106272898.00000921</v>
      </c>
      <c r="BN42" s="38">
        <v>106272898.00000921</v>
      </c>
      <c r="BO42" s="39">
        <f t="shared" si="18"/>
        <v>106272898.00000921</v>
      </c>
      <c r="BP42" s="39">
        <f t="shared" si="19"/>
        <v>106272898.00000921</v>
      </c>
      <c r="BQ42" s="39">
        <f t="shared" si="20"/>
        <v>106272898.00000921</v>
      </c>
      <c r="BR42" s="36"/>
      <c r="BS42" s="37">
        <v>19</v>
      </c>
      <c r="BT42" s="36"/>
      <c r="BU42" s="39"/>
      <c r="BV42" s="39"/>
      <c r="BW42" s="2"/>
      <c r="BX42" s="15">
        <v>1998</v>
      </c>
      <c r="BY42" s="16">
        <v>514.86900000000003</v>
      </c>
      <c r="BZ42" s="16">
        <v>396.85500000000002</v>
      </c>
      <c r="CA42" s="16">
        <v>332.92500000000001</v>
      </c>
      <c r="CB42" s="16">
        <v>291.38</v>
      </c>
      <c r="CC42" s="16">
        <v>251.90199999999999</v>
      </c>
      <c r="CD42" s="16">
        <v>218.08799999999999</v>
      </c>
      <c r="CE42" s="59">
        <v>205.23958849865409</v>
      </c>
      <c r="CF42" s="59">
        <v>186.97951816149788</v>
      </c>
      <c r="CG42" s="59">
        <v>172.28741656151593</v>
      </c>
      <c r="CH42" s="59">
        <v>158.50014047525863</v>
      </c>
      <c r="CI42" s="59">
        <v>147.42733630307359</v>
      </c>
      <c r="CK42" s="21">
        <v>1998</v>
      </c>
      <c r="CL42" s="24">
        <v>514.86900000000003</v>
      </c>
      <c r="CM42" s="24">
        <v>396.85500000000002</v>
      </c>
      <c r="CN42" s="24">
        <v>332.92500000000001</v>
      </c>
      <c r="CO42" s="24">
        <v>291.38</v>
      </c>
      <c r="CP42" s="24">
        <v>251.90199999999999</v>
      </c>
      <c r="CQ42" s="24">
        <v>218.08799999999999</v>
      </c>
      <c r="CR42" s="5">
        <v>205.23958849865409</v>
      </c>
      <c r="CS42" s="5">
        <v>186.97951816149788</v>
      </c>
      <c r="CT42" s="5">
        <v>172.28741656151593</v>
      </c>
      <c r="CU42" s="5">
        <v>158.50014047525863</v>
      </c>
      <c r="CV42" s="5">
        <v>147.42733630307359</v>
      </c>
      <c r="CX42" s="11">
        <v>1998</v>
      </c>
      <c r="CY42" s="13">
        <v>6.6643010163750391</v>
      </c>
      <c r="CZ42" s="13">
        <v>7.6874475564122919</v>
      </c>
      <c r="DA42" s="13">
        <v>8.2819704137568522</v>
      </c>
      <c r="DB42" s="13">
        <v>8.6374528107625785</v>
      </c>
      <c r="DC42" s="13">
        <v>9.5367682670244776</v>
      </c>
      <c r="DD42" s="13">
        <v>9.9164603279410155</v>
      </c>
      <c r="DE42" s="66">
        <v>11.302128243302421</v>
      </c>
      <c r="DF42" s="66">
        <v>11.094131613424549</v>
      </c>
      <c r="DG42" s="66">
        <v>11.690523715094152</v>
      </c>
      <c r="DH42" s="66">
        <v>12.840612365756844</v>
      </c>
      <c r="DI42" s="66">
        <v>14.446150403427865</v>
      </c>
      <c r="DK42" s="15">
        <v>1998</v>
      </c>
      <c r="DL42" s="16">
        <f t="shared" si="21"/>
        <v>3431.2420000000002</v>
      </c>
      <c r="DM42" s="16">
        <f t="shared" si="22"/>
        <v>3050.8020000000001</v>
      </c>
      <c r="DN42" s="16">
        <f t="shared" si="23"/>
        <v>2757.2750000000001</v>
      </c>
      <c r="DO42" s="16">
        <f t="shared" si="24"/>
        <v>2516.7809999999999</v>
      </c>
      <c r="DP42" s="16">
        <f t="shared" si="25"/>
        <v>2402.3309999999997</v>
      </c>
      <c r="DQ42" s="16">
        <f t="shared" si="26"/>
        <v>2162.6610000000001</v>
      </c>
      <c r="DR42" s="16">
        <f t="shared" si="27"/>
        <v>2319.644149814405</v>
      </c>
      <c r="DS42" s="16">
        <f t="shared" si="28"/>
        <v>2074.3753834983631</v>
      </c>
      <c r="DT42" s="16">
        <f t="shared" si="29"/>
        <v>2014.1301291247069</v>
      </c>
      <c r="DU42" s="16">
        <f t="shared" si="30"/>
        <v>2035.2388637608028</v>
      </c>
      <c r="DV42" s="16">
        <f t="shared" si="31"/>
        <v>2129.757473810942</v>
      </c>
      <c r="DW42" s="15">
        <f t="shared" si="32"/>
        <v>26894238.000009216</v>
      </c>
      <c r="DX42" s="15">
        <v>79378660</v>
      </c>
      <c r="DY42" s="15">
        <f t="shared" si="33"/>
        <v>106272898.00000921</v>
      </c>
      <c r="EA42" s="21">
        <v>1998</v>
      </c>
      <c r="EB42" s="24">
        <f t="shared" si="34"/>
        <v>3431.2420000000002</v>
      </c>
      <c r="EC42" s="24">
        <f t="shared" si="35"/>
        <v>3050.8020000000001</v>
      </c>
      <c r="ED42" s="24">
        <f t="shared" si="36"/>
        <v>2757.2750000000001</v>
      </c>
      <c r="EE42" s="24">
        <f t="shared" si="37"/>
        <v>2516.7809999999999</v>
      </c>
      <c r="EF42" s="24">
        <f t="shared" si="38"/>
        <v>2402.3309999999997</v>
      </c>
      <c r="EG42" s="24">
        <f t="shared" si="39"/>
        <v>2162.6610000000001</v>
      </c>
      <c r="EH42" s="24">
        <f t="shared" si="40"/>
        <v>2319.644149814405</v>
      </c>
      <c r="EI42" s="24">
        <f t="shared" si="41"/>
        <v>2074.3753834983631</v>
      </c>
      <c r="EJ42" s="24">
        <f t="shared" si="42"/>
        <v>2014.1301291247069</v>
      </c>
      <c r="EK42" s="24">
        <f t="shared" si="43"/>
        <v>2035.2388637608028</v>
      </c>
      <c r="EL42" s="24">
        <f t="shared" si="44"/>
        <v>2129.757473810942</v>
      </c>
      <c r="EM42" s="21">
        <f t="shared" si="45"/>
        <v>26894238.000009216</v>
      </c>
      <c r="EN42" s="21">
        <v>79378660</v>
      </c>
      <c r="EO42" s="21">
        <f t="shared" si="46"/>
        <v>106272898.00000921</v>
      </c>
      <c r="EQ42" s="11">
        <v>1998</v>
      </c>
      <c r="ER42" s="11">
        <f t="shared" si="47"/>
        <v>3431.2420000000002</v>
      </c>
      <c r="ES42" s="11">
        <f t="shared" si="48"/>
        <v>3050.8020000000001</v>
      </c>
      <c r="ET42" s="11">
        <f t="shared" si="49"/>
        <v>2757.2750000000001</v>
      </c>
      <c r="EU42" s="11">
        <f t="shared" si="50"/>
        <v>2516.7809999999999</v>
      </c>
      <c r="EV42" s="11">
        <f t="shared" si="51"/>
        <v>2402.3309999999997</v>
      </c>
      <c r="EW42" s="11">
        <f t="shared" si="52"/>
        <v>2162.6610000000001</v>
      </c>
      <c r="EX42" s="11">
        <f t="shared" si="53"/>
        <v>2319.644149814405</v>
      </c>
      <c r="EY42" s="11">
        <f t="shared" si="54"/>
        <v>2074.3753834983631</v>
      </c>
      <c r="EZ42" s="11">
        <f t="shared" si="55"/>
        <v>2014.1301291247069</v>
      </c>
      <c r="FA42" s="11">
        <f t="shared" si="56"/>
        <v>2035.2388637608028</v>
      </c>
      <c r="FB42" s="11">
        <f t="shared" si="57"/>
        <v>2129.757473810942</v>
      </c>
      <c r="FC42" s="11">
        <f t="shared" si="58"/>
        <v>26894238.000009216</v>
      </c>
      <c r="FD42" s="11">
        <v>79378660</v>
      </c>
      <c r="FE42" s="11">
        <f t="shared" si="59"/>
        <v>106272898.00000921</v>
      </c>
    </row>
    <row r="43" spans="1:161" x14ac:dyDescent="0.3">
      <c r="A43" s="15">
        <v>1999</v>
      </c>
      <c r="B43" s="16">
        <v>496.66300000000001</v>
      </c>
      <c r="C43" s="16">
        <v>399.74700000000001</v>
      </c>
      <c r="D43" s="16">
        <v>335.53399999999999</v>
      </c>
      <c r="E43" s="16">
        <v>290.077</v>
      </c>
      <c r="F43" s="16">
        <v>259.15600000000001</v>
      </c>
      <c r="G43" s="16">
        <v>226.708</v>
      </c>
      <c r="H43" s="59">
        <v>203.12837501669273</v>
      </c>
      <c r="I43" s="59">
        <v>184.90438583508995</v>
      </c>
      <c r="J43" s="59">
        <v>169.96398550619915</v>
      </c>
      <c r="K43" s="59">
        <v>157.80927169011457</v>
      </c>
      <c r="L43" s="59">
        <v>145.91698195190369</v>
      </c>
      <c r="M43" s="16"/>
      <c r="N43" s="15"/>
      <c r="O43" s="15"/>
      <c r="P43" s="15"/>
      <c r="Q43" s="2"/>
      <c r="R43" s="21">
        <v>1999</v>
      </c>
      <c r="S43" s="23">
        <v>0.79015977605835697</v>
      </c>
      <c r="T43" s="23">
        <v>0.83826080218398136</v>
      </c>
      <c r="U43" s="23">
        <v>0.86228484161102048</v>
      </c>
      <c r="V43" s="23">
        <v>0.88133402275077555</v>
      </c>
      <c r="W43" s="23">
        <v>0.89190941651816436</v>
      </c>
      <c r="X43" s="60">
        <v>0.89952422875169658</v>
      </c>
      <c r="Y43" s="60">
        <v>0.90885914121259348</v>
      </c>
      <c r="Z43" s="60">
        <v>0.91700852358411988</v>
      </c>
      <c r="AA43" s="60">
        <v>0.92403720767169228</v>
      </c>
      <c r="AB43" s="60">
        <v>0.92872404416074072</v>
      </c>
      <c r="AC43" s="60">
        <f t="shared" si="64"/>
        <v>0.87057711322843512</v>
      </c>
      <c r="AD43" s="21"/>
      <c r="AE43" s="21"/>
      <c r="AF43" s="21"/>
      <c r="AH43" s="11">
        <v>1999</v>
      </c>
      <c r="AI43" s="13">
        <v>6.4646148394384122</v>
      </c>
      <c r="AJ43" s="13">
        <v>8.6540336763002603</v>
      </c>
      <c r="AK43" s="13">
        <v>8.4239302127355202</v>
      </c>
      <c r="AL43" s="13">
        <v>8.8950933717599128</v>
      </c>
      <c r="AM43" s="13">
        <v>9.4020126873388996</v>
      </c>
      <c r="AN43" s="13">
        <v>10.253431727155636</v>
      </c>
      <c r="AO43" s="66">
        <v>10.395037108894126</v>
      </c>
      <c r="AP43" s="66">
        <v>11.847578532389797</v>
      </c>
      <c r="AQ43" s="66">
        <v>11.62954380884905</v>
      </c>
      <c r="AR43" s="66">
        <v>12.254718298867314</v>
      </c>
      <c r="AS43" s="66">
        <v>13.46031120266497</v>
      </c>
      <c r="AT43" s="66">
        <f t="shared" si="65"/>
        <v>8.0318574272485304</v>
      </c>
      <c r="AU43" s="13"/>
      <c r="AV43" s="13"/>
      <c r="AW43" s="13"/>
      <c r="AY43" s="36">
        <v>1999</v>
      </c>
      <c r="AZ43" s="37">
        <f t="shared" si="14"/>
        <v>3210.7350000000001</v>
      </c>
      <c r="BA43" s="37">
        <f t="shared" si="15"/>
        <v>3459.4240000000004</v>
      </c>
      <c r="BB43" s="37">
        <f t="shared" si="60"/>
        <v>2826.5149999999999</v>
      </c>
      <c r="BC43" s="37">
        <f t="shared" si="61"/>
        <v>2580.2620000000002</v>
      </c>
      <c r="BD43" s="37">
        <f t="shared" si="62"/>
        <v>2436.5879999999997</v>
      </c>
      <c r="BE43" s="37">
        <f t="shared" si="63"/>
        <v>2324.5349999999999</v>
      </c>
      <c r="BF43" s="37">
        <f t="shared" si="66"/>
        <v>2111.5269961678832</v>
      </c>
      <c r="BG43" s="37">
        <f t="shared" si="67"/>
        <v>2190.6692321645319</v>
      </c>
      <c r="BH43" s="37">
        <f t="shared" si="68"/>
        <v>1976.6036153709281</v>
      </c>
      <c r="BI43" s="37">
        <f t="shared" si="69"/>
        <v>1933.9081695117704</v>
      </c>
      <c r="BJ43" s="37">
        <f t="shared" si="70"/>
        <v>1964.0879868262716</v>
      </c>
      <c r="BK43" s="36">
        <f t="shared" si="16"/>
        <v>27014855.000041384</v>
      </c>
      <c r="BL43" s="36">
        <v>82048924</v>
      </c>
      <c r="BM43" s="38">
        <f t="shared" si="17"/>
        <v>109063779.00004138</v>
      </c>
      <c r="BN43" s="38">
        <v>109063779.00004138</v>
      </c>
      <c r="BO43" s="39">
        <f t="shared" si="18"/>
        <v>109063779.00004138</v>
      </c>
      <c r="BP43" s="39">
        <f t="shared" si="19"/>
        <v>109063779.00004138</v>
      </c>
      <c r="BQ43" s="39">
        <f t="shared" si="20"/>
        <v>109063779.00004138</v>
      </c>
      <c r="BR43" s="36"/>
      <c r="BS43" s="37">
        <v>20</v>
      </c>
      <c r="BT43" s="36"/>
      <c r="BU43" s="39"/>
      <c r="BV43" s="39"/>
      <c r="BW43" s="2"/>
      <c r="BX43" s="15">
        <v>1999</v>
      </c>
      <c r="BY43" s="16">
        <v>496.66300000000001</v>
      </c>
      <c r="BZ43" s="16">
        <v>399.74700000000001</v>
      </c>
      <c r="CA43" s="16">
        <v>335.53399999999999</v>
      </c>
      <c r="CB43" s="16">
        <v>290.077</v>
      </c>
      <c r="CC43" s="16">
        <v>259.15600000000001</v>
      </c>
      <c r="CD43" s="16">
        <v>226.708</v>
      </c>
      <c r="CE43" s="59">
        <v>203.12837501669273</v>
      </c>
      <c r="CF43" s="59">
        <v>184.90438583508995</v>
      </c>
      <c r="CG43" s="59">
        <v>169.96398550619915</v>
      </c>
      <c r="CH43" s="59">
        <v>157.80927169011457</v>
      </c>
      <c r="CI43" s="59">
        <v>145.91698195190369</v>
      </c>
      <c r="CK43" s="21">
        <v>1999</v>
      </c>
      <c r="CL43" s="24">
        <v>496.66300000000001</v>
      </c>
      <c r="CM43" s="24">
        <v>399.74700000000001</v>
      </c>
      <c r="CN43" s="24">
        <v>335.53399999999999</v>
      </c>
      <c r="CO43" s="24">
        <v>290.077</v>
      </c>
      <c r="CP43" s="24">
        <v>259.15600000000001</v>
      </c>
      <c r="CQ43" s="24">
        <v>226.708</v>
      </c>
      <c r="CR43" s="5">
        <v>203.12837501669273</v>
      </c>
      <c r="CS43" s="5">
        <v>184.90438583508995</v>
      </c>
      <c r="CT43" s="5">
        <v>169.96398550619915</v>
      </c>
      <c r="CU43" s="5">
        <v>157.80927169011457</v>
      </c>
      <c r="CV43" s="5">
        <v>145.91698195190369</v>
      </c>
      <c r="CX43" s="11">
        <v>1999</v>
      </c>
      <c r="CY43" s="13">
        <v>6.4646148394384122</v>
      </c>
      <c r="CZ43" s="13">
        <v>8.6540336763002603</v>
      </c>
      <c r="DA43" s="13">
        <v>8.4239302127355202</v>
      </c>
      <c r="DB43" s="13">
        <v>8.8950933717599128</v>
      </c>
      <c r="DC43" s="13">
        <v>9.4020126873388996</v>
      </c>
      <c r="DD43" s="13">
        <v>10.253431727155636</v>
      </c>
      <c r="DE43" s="66">
        <v>10.395037108894126</v>
      </c>
      <c r="DF43" s="66">
        <v>11.847578532389797</v>
      </c>
      <c r="DG43" s="66">
        <v>11.62954380884905</v>
      </c>
      <c r="DH43" s="66">
        <v>12.254718298867314</v>
      </c>
      <c r="DI43" s="66">
        <v>13.46031120266497</v>
      </c>
      <c r="DK43" s="15">
        <v>1999</v>
      </c>
      <c r="DL43" s="16">
        <f t="shared" si="21"/>
        <v>3210.7350000000001</v>
      </c>
      <c r="DM43" s="16">
        <f t="shared" si="22"/>
        <v>3459.4240000000004</v>
      </c>
      <c r="DN43" s="16">
        <f t="shared" si="23"/>
        <v>2826.5149999999999</v>
      </c>
      <c r="DO43" s="16">
        <f t="shared" si="24"/>
        <v>2580.2620000000002</v>
      </c>
      <c r="DP43" s="16">
        <f t="shared" si="25"/>
        <v>2436.5879999999997</v>
      </c>
      <c r="DQ43" s="16">
        <f t="shared" si="26"/>
        <v>2324.5349999999999</v>
      </c>
      <c r="DR43" s="16">
        <f t="shared" si="27"/>
        <v>2111.5269961678832</v>
      </c>
      <c r="DS43" s="16">
        <f t="shared" si="28"/>
        <v>2190.6692321645319</v>
      </c>
      <c r="DT43" s="16">
        <f t="shared" si="29"/>
        <v>1976.6036153709281</v>
      </c>
      <c r="DU43" s="16">
        <f t="shared" si="30"/>
        <v>1933.9081695117704</v>
      </c>
      <c r="DV43" s="16">
        <f t="shared" si="31"/>
        <v>1964.0879868262716</v>
      </c>
      <c r="DW43" s="15">
        <f t="shared" si="32"/>
        <v>27014855.000041384</v>
      </c>
      <c r="DX43" s="15">
        <v>82048924</v>
      </c>
      <c r="DY43" s="15">
        <f t="shared" si="33"/>
        <v>109063779.00004138</v>
      </c>
      <c r="EA43" s="21">
        <v>1999</v>
      </c>
      <c r="EB43" s="24">
        <f t="shared" si="34"/>
        <v>3210.7350000000001</v>
      </c>
      <c r="EC43" s="24">
        <f t="shared" si="35"/>
        <v>3459.4240000000004</v>
      </c>
      <c r="ED43" s="24">
        <f t="shared" si="36"/>
        <v>2826.5149999999999</v>
      </c>
      <c r="EE43" s="24">
        <f t="shared" si="37"/>
        <v>2580.2620000000002</v>
      </c>
      <c r="EF43" s="24">
        <f t="shared" si="38"/>
        <v>2436.5879999999997</v>
      </c>
      <c r="EG43" s="24">
        <f t="shared" si="39"/>
        <v>2324.5349999999999</v>
      </c>
      <c r="EH43" s="24">
        <f t="shared" si="40"/>
        <v>2111.5269961678832</v>
      </c>
      <c r="EI43" s="24">
        <f t="shared" si="41"/>
        <v>2190.6692321645319</v>
      </c>
      <c r="EJ43" s="24">
        <f t="shared" si="42"/>
        <v>1976.6036153709281</v>
      </c>
      <c r="EK43" s="24">
        <f t="shared" si="43"/>
        <v>1933.9081695117704</v>
      </c>
      <c r="EL43" s="24">
        <f t="shared" si="44"/>
        <v>1964.0879868262716</v>
      </c>
      <c r="EM43" s="21">
        <f t="shared" si="45"/>
        <v>27014855.000041384</v>
      </c>
      <c r="EN43" s="21">
        <v>82048924</v>
      </c>
      <c r="EO43" s="21">
        <f t="shared" si="46"/>
        <v>109063779.00004138</v>
      </c>
      <c r="EQ43" s="11">
        <v>1999</v>
      </c>
      <c r="ER43" s="11">
        <f t="shared" si="47"/>
        <v>3210.7350000000001</v>
      </c>
      <c r="ES43" s="11">
        <f t="shared" si="48"/>
        <v>3459.4240000000004</v>
      </c>
      <c r="ET43" s="11">
        <f t="shared" si="49"/>
        <v>2826.5149999999999</v>
      </c>
      <c r="EU43" s="11">
        <f t="shared" si="50"/>
        <v>2580.2620000000002</v>
      </c>
      <c r="EV43" s="11">
        <f t="shared" si="51"/>
        <v>2436.5879999999997</v>
      </c>
      <c r="EW43" s="11">
        <f t="shared" si="52"/>
        <v>2324.5349999999999</v>
      </c>
      <c r="EX43" s="11">
        <f t="shared" si="53"/>
        <v>2111.5269961678832</v>
      </c>
      <c r="EY43" s="11">
        <f t="shared" si="54"/>
        <v>2190.6692321645319</v>
      </c>
      <c r="EZ43" s="11">
        <f t="shared" si="55"/>
        <v>1976.6036153709281</v>
      </c>
      <c r="FA43" s="11">
        <f t="shared" si="56"/>
        <v>1933.9081695117704</v>
      </c>
      <c r="FB43" s="11">
        <f t="shared" si="57"/>
        <v>1964.0879868262716</v>
      </c>
      <c r="FC43" s="11">
        <f t="shared" si="58"/>
        <v>27014855.000041384</v>
      </c>
      <c r="FD43" s="11">
        <v>82048924</v>
      </c>
      <c r="FE43" s="11">
        <f t="shared" si="59"/>
        <v>109063779.00004138</v>
      </c>
    </row>
    <row r="44" spans="1:161" x14ac:dyDescent="0.3">
      <c r="A44" s="15">
        <v>2000</v>
      </c>
      <c r="B44" s="16">
        <v>481.81599999999997</v>
      </c>
      <c r="C44" s="16">
        <v>384.73899999999998</v>
      </c>
      <c r="D44" s="16">
        <v>340.38099999999997</v>
      </c>
      <c r="E44" s="16">
        <v>292.98700000000002</v>
      </c>
      <c r="F44" s="16">
        <v>257.94400000000002</v>
      </c>
      <c r="G44" s="16">
        <v>232.94300000000001</v>
      </c>
      <c r="H44" s="59">
        <v>203.23595752921534</v>
      </c>
      <c r="I44" s="59">
        <v>184.2172623247973</v>
      </c>
      <c r="J44" s="59">
        <v>169.25396183723433</v>
      </c>
      <c r="K44" s="59">
        <v>156.83321436130188</v>
      </c>
      <c r="L44" s="59">
        <v>146.62260394745113</v>
      </c>
      <c r="M44" s="16"/>
      <c r="N44" s="15"/>
      <c r="O44" s="15"/>
      <c r="P44" s="15"/>
      <c r="R44" s="21">
        <v>2000</v>
      </c>
      <c r="S44" s="23">
        <v>0.7927738024998765</v>
      </c>
      <c r="T44" s="23">
        <v>0.84843161046004334</v>
      </c>
      <c r="U44" s="23">
        <v>0.86720229907811608</v>
      </c>
      <c r="V44" s="23">
        <v>0.88474242471234066</v>
      </c>
      <c r="W44" s="23">
        <v>0.89456648192905563</v>
      </c>
      <c r="X44" s="60">
        <v>0.90185375019849323</v>
      </c>
      <c r="Y44" s="60">
        <v>0.90876799970654043</v>
      </c>
      <c r="Z44" s="60">
        <v>0.91724410022103497</v>
      </c>
      <c r="AA44" s="60">
        <v>0.92464373941438083</v>
      </c>
      <c r="AB44" s="60">
        <v>0.93102578456589657</v>
      </c>
      <c r="AC44" s="60">
        <f t="shared" si="64"/>
        <v>0.87455087867462833</v>
      </c>
      <c r="AD44" s="21"/>
      <c r="AE44" s="21"/>
      <c r="AF44" s="21"/>
      <c r="AH44" s="11">
        <v>2000</v>
      </c>
      <c r="AI44" s="13">
        <v>6.4271775947664667</v>
      </c>
      <c r="AJ44" s="13">
        <v>8.7648145885912268</v>
      </c>
      <c r="AK44" s="13">
        <v>10.084320217638469</v>
      </c>
      <c r="AL44" s="13">
        <v>9.3475000597296134</v>
      </c>
      <c r="AM44" s="13">
        <v>9.7928658933722055</v>
      </c>
      <c r="AN44" s="13">
        <v>10.328148946308753</v>
      </c>
      <c r="AO44" s="66">
        <v>11.035995554843227</v>
      </c>
      <c r="AP44" s="66">
        <v>11.188408562019056</v>
      </c>
      <c r="AQ44" s="66">
        <v>12.751811051984312</v>
      </c>
      <c r="AR44" s="66">
        <v>12.517135452260526</v>
      </c>
      <c r="AS44" s="66">
        <v>13.190024595762617</v>
      </c>
      <c r="AT44" s="66">
        <f t="shared" si="65"/>
        <v>7.8747805156653943</v>
      </c>
      <c r="AU44" s="13"/>
      <c r="AV44" s="13"/>
      <c r="AW44" s="13"/>
      <c r="AY44" s="36">
        <v>2000</v>
      </c>
      <c r="AZ44" s="37">
        <f t="shared" si="14"/>
        <v>3096.7169999999996</v>
      </c>
      <c r="BA44" s="37">
        <f t="shared" si="15"/>
        <v>3372.1659999999997</v>
      </c>
      <c r="BB44" s="37">
        <f t="shared" si="60"/>
        <v>3432.5109999999995</v>
      </c>
      <c r="BC44" s="37">
        <f t="shared" si="61"/>
        <v>2738.6960000000004</v>
      </c>
      <c r="BD44" s="37">
        <f t="shared" si="62"/>
        <v>2526.0110000000004</v>
      </c>
      <c r="BE44" s="37">
        <f t="shared" si="63"/>
        <v>2405.87</v>
      </c>
      <c r="BF44" s="37">
        <f t="shared" si="66"/>
        <v>2242.9111238767273</v>
      </c>
      <c r="BG44" s="37">
        <f t="shared" si="67"/>
        <v>2061.0979950664728</v>
      </c>
      <c r="BH44" s="37">
        <f t="shared" si="68"/>
        <v>2158.2945411481755</v>
      </c>
      <c r="BI44" s="37">
        <f t="shared" si="69"/>
        <v>1963.1025875738264</v>
      </c>
      <c r="BJ44" s="37">
        <f t="shared" si="70"/>
        <v>1933.9557523616413</v>
      </c>
      <c r="BK44" s="36">
        <f t="shared" si="16"/>
        <v>27931333.000026844</v>
      </c>
      <c r="BL44" s="36">
        <v>84675711</v>
      </c>
      <c r="BM44" s="38">
        <f t="shared" si="17"/>
        <v>112607044.00002685</v>
      </c>
      <c r="BN44" s="38">
        <v>112607044.00002685</v>
      </c>
      <c r="BO44" s="39">
        <f t="shared" si="18"/>
        <v>112607044.00002685</v>
      </c>
      <c r="BP44" s="39">
        <f t="shared" si="19"/>
        <v>112607044.00002685</v>
      </c>
      <c r="BQ44" s="39">
        <f t="shared" si="20"/>
        <v>112607044.00002685</v>
      </c>
      <c r="BR44" s="36"/>
      <c r="BS44" s="37">
        <v>21</v>
      </c>
      <c r="BT44" s="36"/>
      <c r="BU44" s="39"/>
      <c r="BV44" s="39"/>
      <c r="BW44" s="2"/>
      <c r="BX44" s="15">
        <v>2000</v>
      </c>
      <c r="BY44" s="16">
        <v>481.81599999999997</v>
      </c>
      <c r="BZ44" s="16">
        <v>384.73899999999998</v>
      </c>
      <c r="CA44" s="16">
        <v>340.38099999999997</v>
      </c>
      <c r="CB44" s="16">
        <v>292.98700000000002</v>
      </c>
      <c r="CC44" s="16">
        <v>257.94400000000002</v>
      </c>
      <c r="CD44" s="16">
        <v>232.94300000000001</v>
      </c>
      <c r="CE44" s="59">
        <v>203.23595752921534</v>
      </c>
      <c r="CF44" s="59">
        <v>184.2172623247973</v>
      </c>
      <c r="CG44" s="59">
        <v>169.25396183723433</v>
      </c>
      <c r="CH44" s="59">
        <v>156.83321436130188</v>
      </c>
      <c r="CI44" s="59">
        <v>146.62260394745113</v>
      </c>
      <c r="CK44" s="21">
        <v>2000</v>
      </c>
      <c r="CL44" s="24">
        <v>481.81599999999997</v>
      </c>
      <c r="CM44" s="24">
        <v>384.73899999999998</v>
      </c>
      <c r="CN44" s="24">
        <v>340.38099999999997</v>
      </c>
      <c r="CO44" s="24">
        <v>292.98700000000002</v>
      </c>
      <c r="CP44" s="24">
        <v>257.94400000000002</v>
      </c>
      <c r="CQ44" s="24">
        <v>232.94300000000001</v>
      </c>
      <c r="CR44" s="5">
        <v>203.23595752921534</v>
      </c>
      <c r="CS44" s="5">
        <v>184.2172623247973</v>
      </c>
      <c r="CT44" s="5">
        <v>169.25396183723433</v>
      </c>
      <c r="CU44" s="5">
        <v>156.83321436130188</v>
      </c>
      <c r="CV44" s="5">
        <v>146.62260394745113</v>
      </c>
      <c r="CX44" s="11">
        <v>2000</v>
      </c>
      <c r="CY44" s="13">
        <v>6.4271775947664667</v>
      </c>
      <c r="CZ44" s="13">
        <v>8.7648145885912268</v>
      </c>
      <c r="DA44" s="13">
        <v>10.084320217638469</v>
      </c>
      <c r="DB44" s="13">
        <v>9.3475000597296134</v>
      </c>
      <c r="DC44" s="13">
        <v>9.7928658933722055</v>
      </c>
      <c r="DD44" s="13">
        <v>10.328148946308753</v>
      </c>
      <c r="DE44" s="66">
        <v>11.035995554843227</v>
      </c>
      <c r="DF44" s="66">
        <v>11.188408562019056</v>
      </c>
      <c r="DG44" s="66">
        <v>12.751811051984312</v>
      </c>
      <c r="DH44" s="66">
        <v>12.517135452260526</v>
      </c>
      <c r="DI44" s="66">
        <v>13.190024595762617</v>
      </c>
      <c r="DK44" s="15">
        <v>2000</v>
      </c>
      <c r="DL44" s="16">
        <f t="shared" si="21"/>
        <v>3096.7169999999996</v>
      </c>
      <c r="DM44" s="16">
        <f t="shared" si="22"/>
        <v>3372.1659999999997</v>
      </c>
      <c r="DN44" s="16">
        <f t="shared" si="23"/>
        <v>3432.5109999999995</v>
      </c>
      <c r="DO44" s="16">
        <f t="shared" si="24"/>
        <v>2738.6960000000004</v>
      </c>
      <c r="DP44" s="16">
        <f t="shared" si="25"/>
        <v>2526.0110000000004</v>
      </c>
      <c r="DQ44" s="16">
        <f t="shared" si="26"/>
        <v>2405.87</v>
      </c>
      <c r="DR44" s="16">
        <f t="shared" si="27"/>
        <v>2242.9111238767273</v>
      </c>
      <c r="DS44" s="16">
        <f t="shared" si="28"/>
        <v>2061.0979950664728</v>
      </c>
      <c r="DT44" s="16">
        <f t="shared" si="29"/>
        <v>2158.2945411481755</v>
      </c>
      <c r="DU44" s="16">
        <f t="shared" si="30"/>
        <v>1963.1025875738264</v>
      </c>
      <c r="DV44" s="16">
        <f t="shared" si="31"/>
        <v>1933.9557523616413</v>
      </c>
      <c r="DW44" s="15">
        <f t="shared" si="32"/>
        <v>27931333.000026844</v>
      </c>
      <c r="DX44" s="15">
        <v>84675711</v>
      </c>
      <c r="DY44" s="15">
        <f t="shared" si="33"/>
        <v>112607044.00002685</v>
      </c>
      <c r="EA44" s="21">
        <v>2000</v>
      </c>
      <c r="EB44" s="24">
        <f t="shared" si="34"/>
        <v>3096.7169999999996</v>
      </c>
      <c r="EC44" s="24">
        <f t="shared" si="35"/>
        <v>3372.1659999999997</v>
      </c>
      <c r="ED44" s="24">
        <f t="shared" si="36"/>
        <v>3432.5109999999995</v>
      </c>
      <c r="EE44" s="24">
        <f t="shared" si="37"/>
        <v>2738.6960000000004</v>
      </c>
      <c r="EF44" s="24">
        <f t="shared" si="38"/>
        <v>2526.0110000000004</v>
      </c>
      <c r="EG44" s="24">
        <f t="shared" si="39"/>
        <v>2405.87</v>
      </c>
      <c r="EH44" s="24">
        <f t="shared" si="40"/>
        <v>2242.9111238767273</v>
      </c>
      <c r="EI44" s="24">
        <f t="shared" si="41"/>
        <v>2061.0979950664728</v>
      </c>
      <c r="EJ44" s="24">
        <f t="shared" si="42"/>
        <v>2158.2945411481755</v>
      </c>
      <c r="EK44" s="24">
        <f t="shared" si="43"/>
        <v>1963.1025875738264</v>
      </c>
      <c r="EL44" s="24">
        <f t="shared" si="44"/>
        <v>1933.9557523616413</v>
      </c>
      <c r="EM44" s="21">
        <f t="shared" si="45"/>
        <v>27931333.000026844</v>
      </c>
      <c r="EN44" s="21">
        <v>84675711</v>
      </c>
      <c r="EO44" s="21">
        <f t="shared" si="46"/>
        <v>112607044.00002685</v>
      </c>
      <c r="EQ44" s="11">
        <v>2000</v>
      </c>
      <c r="ER44" s="11">
        <f t="shared" si="47"/>
        <v>3096.7169999999996</v>
      </c>
      <c r="ES44" s="11">
        <f t="shared" si="48"/>
        <v>3372.1659999999997</v>
      </c>
      <c r="ET44" s="11">
        <f t="shared" si="49"/>
        <v>3432.5109999999995</v>
      </c>
      <c r="EU44" s="11">
        <f t="shared" si="50"/>
        <v>2738.6960000000004</v>
      </c>
      <c r="EV44" s="11">
        <f t="shared" si="51"/>
        <v>2526.0110000000004</v>
      </c>
      <c r="EW44" s="11">
        <f t="shared" si="52"/>
        <v>2405.87</v>
      </c>
      <c r="EX44" s="11">
        <f t="shared" si="53"/>
        <v>2242.9111238767273</v>
      </c>
      <c r="EY44" s="11">
        <f t="shared" si="54"/>
        <v>2061.0979950664728</v>
      </c>
      <c r="EZ44" s="11">
        <f t="shared" si="55"/>
        <v>2158.2945411481755</v>
      </c>
      <c r="FA44" s="11">
        <f t="shared" si="56"/>
        <v>1963.1025875738264</v>
      </c>
      <c r="FB44" s="11">
        <f t="shared" si="57"/>
        <v>1933.9557523616413</v>
      </c>
      <c r="FC44" s="11">
        <f t="shared" si="58"/>
        <v>27931333.000026844</v>
      </c>
      <c r="FD44" s="11">
        <v>84675711</v>
      </c>
      <c r="FE44" s="11">
        <f t="shared" si="59"/>
        <v>112607044.00002685</v>
      </c>
    </row>
    <row r="45" spans="1:161" x14ac:dyDescent="0.3">
      <c r="A45" s="15">
        <v>2001</v>
      </c>
      <c r="B45" s="16">
        <v>471.21100000000001</v>
      </c>
      <c r="C45" s="16">
        <v>374.54199999999997</v>
      </c>
      <c r="D45" s="16">
        <v>327.12700000000001</v>
      </c>
      <c r="E45" s="16">
        <v>298.40199999999999</v>
      </c>
      <c r="F45" s="16">
        <v>260.5</v>
      </c>
      <c r="G45" s="16">
        <v>231.767</v>
      </c>
      <c r="H45" s="59">
        <v>204.32746070124892</v>
      </c>
      <c r="I45" s="59">
        <v>185.64985495567186</v>
      </c>
      <c r="J45" s="59">
        <v>169.46056470713785</v>
      </c>
      <c r="K45" s="59">
        <v>157.02912483883759</v>
      </c>
      <c r="L45" s="59">
        <v>146.58399479710368</v>
      </c>
      <c r="M45" s="16"/>
      <c r="N45" s="15"/>
      <c r="O45" s="15"/>
      <c r="P45" s="15"/>
      <c r="R45" s="21">
        <v>2001</v>
      </c>
      <c r="S45" s="23">
        <v>0.79698671978042512</v>
      </c>
      <c r="T45" s="23">
        <v>0.84655806460487826</v>
      </c>
      <c r="U45" s="23">
        <v>0.87043987640833509</v>
      </c>
      <c r="V45" s="23">
        <v>0.88294049904030714</v>
      </c>
      <c r="W45" s="23">
        <v>0.89187848140589465</v>
      </c>
      <c r="X45" s="60">
        <v>0.90247399578437637</v>
      </c>
      <c r="Y45" s="60">
        <v>0.90921471893360617</v>
      </c>
      <c r="Z45" s="60">
        <v>0.91561039972854996</v>
      </c>
      <c r="AA45" s="60">
        <v>0.92345079270445729</v>
      </c>
      <c r="AB45" s="60">
        <v>0.93029545895830235</v>
      </c>
      <c r="AC45" s="60">
        <f t="shared" si="64"/>
        <v>0.87527909424586348</v>
      </c>
      <c r="AD45" s="21"/>
      <c r="AE45" s="21"/>
      <c r="AF45" s="21"/>
      <c r="AH45" s="11">
        <v>2001</v>
      </c>
      <c r="AI45" s="13">
        <v>6.2944816653261491</v>
      </c>
      <c r="AJ45" s="13">
        <v>8.3615856165663658</v>
      </c>
      <c r="AK45" s="13">
        <v>9.7139215044921396</v>
      </c>
      <c r="AL45" s="13">
        <v>11.048387745390446</v>
      </c>
      <c r="AM45" s="13">
        <v>9.7917696737044153</v>
      </c>
      <c r="AN45" s="13">
        <v>10.468712111732904</v>
      </c>
      <c r="AO45" s="66">
        <v>10.708470174921382</v>
      </c>
      <c r="AP45" s="66">
        <v>11.442382353697591</v>
      </c>
      <c r="AQ45" s="66">
        <v>11.600407780141094</v>
      </c>
      <c r="AR45" s="66">
        <v>13.221380620697792</v>
      </c>
      <c r="AS45" s="66">
        <v>12.978063384135076</v>
      </c>
      <c r="AT45" s="66">
        <f t="shared" si="65"/>
        <v>8.0380131234959045</v>
      </c>
      <c r="AU45" s="13"/>
      <c r="AV45" s="13"/>
      <c r="AW45" s="13"/>
      <c r="AY45" s="36">
        <v>2001</v>
      </c>
      <c r="AZ45" s="37">
        <f t="shared" si="14"/>
        <v>2966.029</v>
      </c>
      <c r="BA45" s="37">
        <f t="shared" si="15"/>
        <v>3131.7649999999994</v>
      </c>
      <c r="BB45" s="37">
        <f t="shared" si="60"/>
        <v>3177.6860000000001</v>
      </c>
      <c r="BC45" s="37">
        <f t="shared" si="61"/>
        <v>3296.8609999999999</v>
      </c>
      <c r="BD45" s="37">
        <f t="shared" si="62"/>
        <v>2550.7560000000003</v>
      </c>
      <c r="BE45" s="37">
        <f t="shared" si="63"/>
        <v>2426.3019999999997</v>
      </c>
      <c r="BF45" s="37">
        <f t="shared" si="66"/>
        <v>2188.0345188367451</v>
      </c>
      <c r="BG45" s="37">
        <f t="shared" si="67"/>
        <v>2124.2766243112969</v>
      </c>
      <c r="BH45" s="37">
        <f t="shared" si="68"/>
        <v>1965.8116532557851</v>
      </c>
      <c r="BI45" s="37">
        <f t="shared" si="69"/>
        <v>2076.1418280293415</v>
      </c>
      <c r="BJ45" s="37">
        <f t="shared" si="70"/>
        <v>1902.3763755765378</v>
      </c>
      <c r="BK45" s="36">
        <f t="shared" si="16"/>
        <v>27806040.000009712</v>
      </c>
      <c r="BL45" s="36">
        <v>86203958</v>
      </c>
      <c r="BM45" s="38">
        <f t="shared" si="17"/>
        <v>114009998.00000972</v>
      </c>
      <c r="BN45" s="38">
        <v>114009998.00000972</v>
      </c>
      <c r="BO45" s="39">
        <f t="shared" si="18"/>
        <v>114009998.00000972</v>
      </c>
      <c r="BP45" s="39">
        <f t="shared" si="19"/>
        <v>114009998.00000972</v>
      </c>
      <c r="BQ45" s="39">
        <f t="shared" si="20"/>
        <v>114009998.00000972</v>
      </c>
      <c r="BR45" s="36"/>
      <c r="BS45" s="36"/>
      <c r="BT45" s="36"/>
      <c r="BU45" s="36"/>
      <c r="BV45" s="39"/>
      <c r="BW45" s="2"/>
      <c r="BX45" s="15">
        <v>2001</v>
      </c>
      <c r="BY45" s="16">
        <v>471.21100000000001</v>
      </c>
      <c r="BZ45" s="16">
        <v>374.54199999999997</v>
      </c>
      <c r="CA45" s="16">
        <v>327.12700000000001</v>
      </c>
      <c r="CB45" s="16">
        <v>298.40199999999999</v>
      </c>
      <c r="CC45" s="16">
        <v>260.5</v>
      </c>
      <c r="CD45" s="16">
        <v>231.767</v>
      </c>
      <c r="CE45" s="59">
        <v>204.32746070124892</v>
      </c>
      <c r="CF45" s="59">
        <v>185.64985495567186</v>
      </c>
      <c r="CG45" s="59">
        <v>169.46056470713785</v>
      </c>
      <c r="CH45" s="59">
        <v>157.02912483883759</v>
      </c>
      <c r="CI45" s="59">
        <v>146.58399479710368</v>
      </c>
      <c r="CK45" s="21">
        <v>2001</v>
      </c>
      <c r="CL45" s="24">
        <v>471.21100000000001</v>
      </c>
      <c r="CM45" s="24">
        <v>374.54199999999997</v>
      </c>
      <c r="CN45" s="24">
        <v>327.12700000000001</v>
      </c>
      <c r="CO45" s="24">
        <v>298.40199999999999</v>
      </c>
      <c r="CP45" s="24">
        <v>260.5</v>
      </c>
      <c r="CQ45" s="24">
        <v>231.767</v>
      </c>
      <c r="CR45" s="5">
        <v>204.32746070124892</v>
      </c>
      <c r="CS45" s="5">
        <v>185.64985495567186</v>
      </c>
      <c r="CT45" s="5">
        <v>169.46056470713785</v>
      </c>
      <c r="CU45" s="5">
        <v>157.02912483883759</v>
      </c>
      <c r="CV45" s="5">
        <v>146.58399479710368</v>
      </c>
      <c r="CX45" s="11">
        <v>2001</v>
      </c>
      <c r="CY45" s="13">
        <v>6.2944816653261491</v>
      </c>
      <c r="CZ45" s="13">
        <v>8.3615856165663658</v>
      </c>
      <c r="DA45" s="13">
        <v>9.7139215044921396</v>
      </c>
      <c r="DB45" s="13">
        <v>11.048387745390446</v>
      </c>
      <c r="DC45" s="13">
        <v>9.7917696737044153</v>
      </c>
      <c r="DD45" s="13">
        <v>10.468712111732904</v>
      </c>
      <c r="DE45" s="66">
        <v>10.708470174921382</v>
      </c>
      <c r="DF45" s="66">
        <v>11.442382353697591</v>
      </c>
      <c r="DG45" s="66">
        <v>11.600407780141094</v>
      </c>
      <c r="DH45" s="66">
        <v>13.221380620697792</v>
      </c>
      <c r="DI45" s="66">
        <v>12.978063384135076</v>
      </c>
      <c r="DK45" s="15">
        <v>2001</v>
      </c>
      <c r="DL45" s="16">
        <f t="shared" si="21"/>
        <v>2966.029</v>
      </c>
      <c r="DM45" s="16">
        <f t="shared" si="22"/>
        <v>3131.7649999999994</v>
      </c>
      <c r="DN45" s="16">
        <f t="shared" si="23"/>
        <v>3177.6860000000001</v>
      </c>
      <c r="DO45" s="16">
        <f t="shared" si="24"/>
        <v>3296.8609999999999</v>
      </c>
      <c r="DP45" s="16">
        <f t="shared" si="25"/>
        <v>2550.7560000000003</v>
      </c>
      <c r="DQ45" s="16">
        <f t="shared" si="26"/>
        <v>2426.3019999999997</v>
      </c>
      <c r="DR45" s="16">
        <f t="shared" si="27"/>
        <v>2188.0345188367451</v>
      </c>
      <c r="DS45" s="16">
        <f t="shared" si="28"/>
        <v>2124.2766243112969</v>
      </c>
      <c r="DT45" s="16">
        <f t="shared" si="29"/>
        <v>1965.8116532557851</v>
      </c>
      <c r="DU45" s="16">
        <f t="shared" si="30"/>
        <v>2076.1418280293415</v>
      </c>
      <c r="DV45" s="16">
        <f t="shared" si="31"/>
        <v>1902.3763755765378</v>
      </c>
      <c r="DW45" s="15">
        <f t="shared" si="32"/>
        <v>27806040.000009712</v>
      </c>
      <c r="DX45" s="15">
        <v>86203958</v>
      </c>
      <c r="DY45" s="15">
        <f t="shared" si="33"/>
        <v>114009998.00000972</v>
      </c>
      <c r="EA45" s="21">
        <v>2001</v>
      </c>
      <c r="EB45" s="24">
        <f t="shared" si="34"/>
        <v>2966.029</v>
      </c>
      <c r="EC45" s="24">
        <f t="shared" si="35"/>
        <v>3131.7649999999994</v>
      </c>
      <c r="ED45" s="24">
        <f t="shared" si="36"/>
        <v>3177.6860000000001</v>
      </c>
      <c r="EE45" s="24">
        <f t="shared" si="37"/>
        <v>3296.8609999999999</v>
      </c>
      <c r="EF45" s="24">
        <f t="shared" si="38"/>
        <v>2550.7560000000003</v>
      </c>
      <c r="EG45" s="24">
        <f t="shared" si="39"/>
        <v>2426.3019999999997</v>
      </c>
      <c r="EH45" s="24">
        <f t="shared" si="40"/>
        <v>2188.0345188367451</v>
      </c>
      <c r="EI45" s="24">
        <f t="shared" si="41"/>
        <v>2124.2766243112969</v>
      </c>
      <c r="EJ45" s="24">
        <f t="shared" si="42"/>
        <v>1965.8116532557851</v>
      </c>
      <c r="EK45" s="24">
        <f t="shared" si="43"/>
        <v>2076.1418280293415</v>
      </c>
      <c r="EL45" s="24">
        <f t="shared" si="44"/>
        <v>1902.3763755765378</v>
      </c>
      <c r="EM45" s="21">
        <f t="shared" si="45"/>
        <v>27806040.000009712</v>
      </c>
      <c r="EN45" s="21">
        <v>86203958</v>
      </c>
      <c r="EO45" s="21">
        <f t="shared" si="46"/>
        <v>114009998.00000972</v>
      </c>
      <c r="EQ45" s="11">
        <v>2001</v>
      </c>
      <c r="ER45" s="11">
        <f t="shared" si="47"/>
        <v>2966.029</v>
      </c>
      <c r="ES45" s="11">
        <f t="shared" si="48"/>
        <v>3131.7649999999994</v>
      </c>
      <c r="ET45" s="11">
        <f t="shared" si="49"/>
        <v>3177.6860000000001</v>
      </c>
      <c r="EU45" s="11">
        <f t="shared" si="50"/>
        <v>3296.8609999999999</v>
      </c>
      <c r="EV45" s="11">
        <f t="shared" si="51"/>
        <v>2550.7560000000003</v>
      </c>
      <c r="EW45" s="11">
        <f t="shared" si="52"/>
        <v>2426.3019999999997</v>
      </c>
      <c r="EX45" s="11">
        <f t="shared" si="53"/>
        <v>2188.0345188367451</v>
      </c>
      <c r="EY45" s="11">
        <f t="shared" si="54"/>
        <v>2124.2766243112969</v>
      </c>
      <c r="EZ45" s="11">
        <f t="shared" si="55"/>
        <v>1965.8116532557851</v>
      </c>
      <c r="FA45" s="11">
        <f t="shared" si="56"/>
        <v>2076.1418280293415</v>
      </c>
      <c r="FB45" s="11">
        <f t="shared" si="57"/>
        <v>1902.3763755765378</v>
      </c>
      <c r="FC45" s="11">
        <f t="shared" si="58"/>
        <v>27806040.000009712</v>
      </c>
      <c r="FD45" s="11">
        <v>86203958</v>
      </c>
      <c r="FE45" s="11">
        <f t="shared" si="59"/>
        <v>114009998.00000972</v>
      </c>
    </row>
    <row r="46" spans="1:161" x14ac:dyDescent="0.3">
      <c r="A46" s="15">
        <v>2002</v>
      </c>
      <c r="B46" s="16">
        <v>496.13799999999998</v>
      </c>
      <c r="C46" s="16">
        <v>368.03</v>
      </c>
      <c r="D46" s="16">
        <v>319.99900000000002</v>
      </c>
      <c r="E46" s="16">
        <v>287.29000000000002</v>
      </c>
      <c r="F46" s="16">
        <v>263.88600000000002</v>
      </c>
      <c r="G46" s="16">
        <v>234.233</v>
      </c>
      <c r="H46" s="59">
        <v>206.97236194181158</v>
      </c>
      <c r="I46" s="59">
        <v>188.74339426999475</v>
      </c>
      <c r="J46" s="59">
        <v>172.62108929294956</v>
      </c>
      <c r="K46" s="59">
        <v>158.5472703728575</v>
      </c>
      <c r="L46" s="59">
        <v>148.0288841223867</v>
      </c>
      <c r="M46" s="16"/>
      <c r="N46" s="15"/>
      <c r="O46" s="15"/>
      <c r="P46" s="15"/>
      <c r="R46" s="21">
        <v>2002</v>
      </c>
      <c r="S46" s="23">
        <v>0.78821835176480182</v>
      </c>
      <c r="T46" s="23">
        <v>0.84578389307466584</v>
      </c>
      <c r="U46" s="23">
        <v>0.8714400083539281</v>
      </c>
      <c r="V46" s="23">
        <v>0.88720129146676974</v>
      </c>
      <c r="W46" s="23">
        <v>0.89575337377739261</v>
      </c>
      <c r="X46" s="60">
        <v>0.90344748389546403</v>
      </c>
      <c r="Y46" s="60">
        <v>0.91290927823544821</v>
      </c>
      <c r="Z46" s="60">
        <v>0.9189287440077103</v>
      </c>
      <c r="AA46" s="60">
        <v>0.92464008695759503</v>
      </c>
      <c r="AB46" s="60">
        <v>0.93164155788508041</v>
      </c>
      <c r="AC46" s="60">
        <f t="shared" si="64"/>
        <v>0.87612914692922494</v>
      </c>
      <c r="AD46" s="21"/>
      <c r="AE46" s="21"/>
      <c r="AF46" s="21"/>
      <c r="AH46" s="11">
        <v>2002</v>
      </c>
      <c r="AI46" s="13">
        <v>6.645882798737448</v>
      </c>
      <c r="AJ46" s="13">
        <v>7.4405673450533927</v>
      </c>
      <c r="AK46" s="13">
        <v>8.5141672317725998</v>
      </c>
      <c r="AL46" s="13">
        <v>9.6871558355668483</v>
      </c>
      <c r="AM46" s="13">
        <v>11.025522384666106</v>
      </c>
      <c r="AN46" s="13">
        <v>9.8731903702723365</v>
      </c>
      <c r="AO46" s="66">
        <v>10.450429947942458</v>
      </c>
      <c r="AP46" s="66">
        <v>10.689769306696762</v>
      </c>
      <c r="AQ46" s="66">
        <v>11.422399808938456</v>
      </c>
      <c r="AR46" s="66">
        <v>11.580149265740378</v>
      </c>
      <c r="AS46" s="66">
        <v>13.198291300496455</v>
      </c>
      <c r="AT46" s="66">
        <f t="shared" si="65"/>
        <v>8.1031693354758314</v>
      </c>
      <c r="AU46" s="13"/>
      <c r="AV46" s="13"/>
      <c r="AW46" s="13"/>
      <c r="AY46" s="36">
        <v>2002</v>
      </c>
      <c r="AZ46" s="37">
        <f t="shared" si="14"/>
        <v>3297.2749999999996</v>
      </c>
      <c r="BA46" s="37">
        <f t="shared" si="15"/>
        <v>2738.3519999999999</v>
      </c>
      <c r="BB46" s="37">
        <f t="shared" si="60"/>
        <v>2724.5250000000005</v>
      </c>
      <c r="BC46" s="37">
        <f t="shared" si="61"/>
        <v>2783.0230000000001</v>
      </c>
      <c r="BD46" s="37">
        <f t="shared" si="62"/>
        <v>2909.4810000000002</v>
      </c>
      <c r="BE46" s="37">
        <f t="shared" si="63"/>
        <v>2312.6270000000004</v>
      </c>
      <c r="BF46" s="37">
        <f t="shared" si="66"/>
        <v>2162.9501696330935</v>
      </c>
      <c r="BG46" s="37">
        <f t="shared" si="67"/>
        <v>2017.6233429091556</v>
      </c>
      <c r="BH46" s="37">
        <f t="shared" si="68"/>
        <v>1971.7470973585353</v>
      </c>
      <c r="BI46" s="37">
        <f t="shared" si="69"/>
        <v>1836.0010565933869</v>
      </c>
      <c r="BJ46" s="37">
        <f t="shared" si="70"/>
        <v>1953.7283335346942</v>
      </c>
      <c r="BK46" s="36">
        <f t="shared" si="16"/>
        <v>26707333.000028871</v>
      </c>
      <c r="BL46" s="36">
        <v>85120083</v>
      </c>
      <c r="BM46" s="38">
        <f t="shared" si="17"/>
        <v>111827416.00002888</v>
      </c>
      <c r="BN46" s="38">
        <v>111827416.00002888</v>
      </c>
      <c r="BO46" s="39">
        <f t="shared" si="18"/>
        <v>111827416.00002888</v>
      </c>
      <c r="BP46" s="39">
        <f t="shared" si="19"/>
        <v>111827416.00002888</v>
      </c>
      <c r="BQ46" s="39">
        <f t="shared" si="20"/>
        <v>111827416.00002888</v>
      </c>
      <c r="BR46" s="36"/>
      <c r="BS46" s="36"/>
      <c r="BT46" s="36"/>
      <c r="BU46" s="36"/>
      <c r="BV46" s="39"/>
      <c r="BW46" s="2"/>
      <c r="BX46" s="15">
        <v>2002</v>
      </c>
      <c r="BY46" s="16">
        <v>496.13799999999998</v>
      </c>
      <c r="BZ46" s="16">
        <v>368.03</v>
      </c>
      <c r="CA46" s="16">
        <v>319.99900000000002</v>
      </c>
      <c r="CB46" s="16">
        <v>287.29000000000002</v>
      </c>
      <c r="CC46" s="16">
        <v>263.88600000000002</v>
      </c>
      <c r="CD46" s="16">
        <v>234.233</v>
      </c>
      <c r="CE46" s="59">
        <v>206.97236194181158</v>
      </c>
      <c r="CF46" s="59">
        <v>188.74339426999475</v>
      </c>
      <c r="CG46" s="59">
        <v>172.62108929294956</v>
      </c>
      <c r="CH46" s="59">
        <v>158.5472703728575</v>
      </c>
      <c r="CI46" s="59">
        <v>148.0288841223867</v>
      </c>
      <c r="CK46" s="21">
        <v>2002</v>
      </c>
      <c r="CL46" s="24">
        <v>496.13799999999998</v>
      </c>
      <c r="CM46" s="24">
        <v>368.03</v>
      </c>
      <c r="CN46" s="24">
        <v>319.99900000000002</v>
      </c>
      <c r="CO46" s="24">
        <v>287.29000000000002</v>
      </c>
      <c r="CP46" s="24">
        <v>263.88600000000002</v>
      </c>
      <c r="CQ46" s="24">
        <v>234.233</v>
      </c>
      <c r="CR46" s="5">
        <v>206.97236194181158</v>
      </c>
      <c r="CS46" s="5">
        <v>188.74339426999475</v>
      </c>
      <c r="CT46" s="5">
        <v>172.62108929294956</v>
      </c>
      <c r="CU46" s="5">
        <v>158.5472703728575</v>
      </c>
      <c r="CV46" s="5">
        <v>148.0288841223867</v>
      </c>
      <c r="CX46" s="11">
        <v>2002</v>
      </c>
      <c r="CY46" s="13">
        <v>6.645882798737448</v>
      </c>
      <c r="CZ46" s="13">
        <v>7.4405673450533927</v>
      </c>
      <c r="DA46" s="13">
        <v>8.5141672317725998</v>
      </c>
      <c r="DB46" s="13">
        <v>9.6871558355668483</v>
      </c>
      <c r="DC46" s="13">
        <v>11.025522384666106</v>
      </c>
      <c r="DD46" s="13">
        <v>9.8731903702723365</v>
      </c>
      <c r="DE46" s="66">
        <v>10.450429947942458</v>
      </c>
      <c r="DF46" s="66">
        <v>10.689769306696762</v>
      </c>
      <c r="DG46" s="66">
        <v>11.422399808938456</v>
      </c>
      <c r="DH46" s="66">
        <v>11.580149265740378</v>
      </c>
      <c r="DI46" s="66">
        <v>13.198291300496455</v>
      </c>
      <c r="DK46" s="15">
        <v>2002</v>
      </c>
      <c r="DL46" s="16">
        <f t="shared" si="21"/>
        <v>3297.2749999999996</v>
      </c>
      <c r="DM46" s="16">
        <f t="shared" si="22"/>
        <v>2738.3519999999999</v>
      </c>
      <c r="DN46" s="16">
        <f t="shared" si="23"/>
        <v>2724.5250000000005</v>
      </c>
      <c r="DO46" s="16">
        <f t="shared" si="24"/>
        <v>2783.0230000000001</v>
      </c>
      <c r="DP46" s="16">
        <f t="shared" si="25"/>
        <v>2909.4810000000002</v>
      </c>
      <c r="DQ46" s="16">
        <f t="shared" si="26"/>
        <v>2312.6270000000004</v>
      </c>
      <c r="DR46" s="16">
        <f t="shared" si="27"/>
        <v>2162.9501696330935</v>
      </c>
      <c r="DS46" s="16">
        <f t="shared" si="28"/>
        <v>2017.6233429091556</v>
      </c>
      <c r="DT46" s="16">
        <f t="shared" si="29"/>
        <v>1971.7470973585353</v>
      </c>
      <c r="DU46" s="16">
        <f t="shared" si="30"/>
        <v>1836.0010565933869</v>
      </c>
      <c r="DV46" s="16">
        <f t="shared" si="31"/>
        <v>1953.7283335346942</v>
      </c>
      <c r="DW46" s="15">
        <f t="shared" si="32"/>
        <v>26707333.000028871</v>
      </c>
      <c r="DX46" s="15">
        <v>85120083</v>
      </c>
      <c r="DY46" s="15">
        <f t="shared" si="33"/>
        <v>111827416.00002888</v>
      </c>
      <c r="EA46" s="21">
        <v>2002</v>
      </c>
      <c r="EB46" s="24">
        <f t="shared" si="34"/>
        <v>3297.2749999999996</v>
      </c>
      <c r="EC46" s="24">
        <f t="shared" si="35"/>
        <v>2738.3519999999999</v>
      </c>
      <c r="ED46" s="24">
        <f t="shared" si="36"/>
        <v>2724.5250000000005</v>
      </c>
      <c r="EE46" s="24">
        <f t="shared" si="37"/>
        <v>2783.0230000000001</v>
      </c>
      <c r="EF46" s="24">
        <f t="shared" si="38"/>
        <v>2909.4810000000002</v>
      </c>
      <c r="EG46" s="24">
        <f t="shared" si="39"/>
        <v>2312.6270000000004</v>
      </c>
      <c r="EH46" s="24">
        <f t="shared" si="40"/>
        <v>2162.9501696330935</v>
      </c>
      <c r="EI46" s="24">
        <f t="shared" si="41"/>
        <v>2017.6233429091556</v>
      </c>
      <c r="EJ46" s="24">
        <f t="shared" si="42"/>
        <v>1971.7470973585353</v>
      </c>
      <c r="EK46" s="24">
        <f t="shared" si="43"/>
        <v>1836.0010565933869</v>
      </c>
      <c r="EL46" s="24">
        <f t="shared" si="44"/>
        <v>1953.7283335346942</v>
      </c>
      <c r="EM46" s="21">
        <f t="shared" si="45"/>
        <v>26707333.000028871</v>
      </c>
      <c r="EN46" s="21">
        <v>85120083</v>
      </c>
      <c r="EO46" s="21">
        <f t="shared" si="46"/>
        <v>111827416.00002888</v>
      </c>
      <c r="EQ46" s="11">
        <v>2002</v>
      </c>
      <c r="ER46" s="11">
        <f t="shared" si="47"/>
        <v>3297.2749999999996</v>
      </c>
      <c r="ES46" s="11">
        <f t="shared" si="48"/>
        <v>2738.3519999999999</v>
      </c>
      <c r="ET46" s="11">
        <f t="shared" si="49"/>
        <v>2724.5250000000005</v>
      </c>
      <c r="EU46" s="11">
        <f t="shared" si="50"/>
        <v>2783.0230000000001</v>
      </c>
      <c r="EV46" s="11">
        <f t="shared" si="51"/>
        <v>2909.4810000000002</v>
      </c>
      <c r="EW46" s="11">
        <f t="shared" si="52"/>
        <v>2312.6270000000004</v>
      </c>
      <c r="EX46" s="11">
        <f t="shared" si="53"/>
        <v>2162.9501696330935</v>
      </c>
      <c r="EY46" s="11">
        <f t="shared" si="54"/>
        <v>2017.6233429091556</v>
      </c>
      <c r="EZ46" s="11">
        <f t="shared" si="55"/>
        <v>1971.7470973585353</v>
      </c>
      <c r="FA46" s="11">
        <f t="shared" si="56"/>
        <v>1836.0010565933869</v>
      </c>
      <c r="FB46" s="11">
        <f t="shared" si="57"/>
        <v>1953.7283335346942</v>
      </c>
      <c r="FC46" s="11">
        <f t="shared" si="58"/>
        <v>26707333.000028871</v>
      </c>
      <c r="FD46" s="11">
        <v>85120083</v>
      </c>
      <c r="FE46" s="11">
        <f t="shared" si="59"/>
        <v>111827416.00002888</v>
      </c>
    </row>
    <row r="47" spans="1:161" x14ac:dyDescent="0.3">
      <c r="A47" s="15">
        <v>2003</v>
      </c>
      <c r="B47" s="16">
        <v>500.84699999999998</v>
      </c>
      <c r="C47" s="16">
        <v>376.24</v>
      </c>
      <c r="D47" s="16">
        <v>316.78100000000001</v>
      </c>
      <c r="E47" s="16">
        <v>282.18099999999998</v>
      </c>
      <c r="F47" s="16">
        <v>257.98899999999998</v>
      </c>
      <c r="G47" s="16">
        <v>239.56399999999999</v>
      </c>
      <c r="H47" s="59">
        <v>211.49508421552946</v>
      </c>
      <c r="I47" s="59">
        <v>192.56352666584556</v>
      </c>
      <c r="J47" s="59">
        <v>177.27323058445975</v>
      </c>
      <c r="K47" s="59">
        <v>163.10215701139489</v>
      </c>
      <c r="L47" s="59">
        <v>150.65100152277034</v>
      </c>
      <c r="M47" s="16"/>
      <c r="N47" s="15"/>
      <c r="O47" s="15"/>
      <c r="P47" s="15"/>
      <c r="R47" s="21">
        <v>2003</v>
      </c>
      <c r="S47" s="23">
        <v>0.77355677227301722</v>
      </c>
      <c r="T47" s="23">
        <v>0.85142101325521413</v>
      </c>
      <c r="U47" s="23">
        <v>0.87252862524408092</v>
      </c>
      <c r="V47" s="23">
        <v>0.8891464364759738</v>
      </c>
      <c r="W47" s="23">
        <v>0.89991401045232178</v>
      </c>
      <c r="X47" s="60">
        <v>0.90451009038009156</v>
      </c>
      <c r="Y47" s="60">
        <v>0.91155789524824504</v>
      </c>
      <c r="Z47" s="60">
        <v>0.92022489886367054</v>
      </c>
      <c r="AA47" s="60">
        <v>0.92573872951106262</v>
      </c>
      <c r="AB47" s="60">
        <v>0.93097031965315713</v>
      </c>
      <c r="AC47" s="60">
        <f t="shared" si="64"/>
        <v>0.87554483248429626</v>
      </c>
      <c r="AD47" s="21"/>
      <c r="AE47" s="21"/>
      <c r="AF47" s="21"/>
      <c r="AH47" s="11">
        <v>2003</v>
      </c>
      <c r="AI47" s="13">
        <v>6.2514081146537768</v>
      </c>
      <c r="AJ47" s="13">
        <v>8.0332527110355088</v>
      </c>
      <c r="AK47" s="13">
        <v>8.2967507520968748</v>
      </c>
      <c r="AL47" s="13">
        <v>9.2045176677380827</v>
      </c>
      <c r="AM47" s="13">
        <v>10.455065913662986</v>
      </c>
      <c r="AN47" s="13">
        <v>11.795081898782788</v>
      </c>
      <c r="AO47" s="66">
        <v>10.371643483283526</v>
      </c>
      <c r="AP47" s="66">
        <v>10.978025299040059</v>
      </c>
      <c r="AQ47" s="66">
        <v>11.229447828883252</v>
      </c>
      <c r="AR47" s="66">
        <v>11.99906556026102</v>
      </c>
      <c r="AS47" s="66">
        <v>12.164779079829875</v>
      </c>
      <c r="AT47" s="66">
        <f t="shared" si="65"/>
        <v>9.410120042842232</v>
      </c>
      <c r="AU47" s="13"/>
      <c r="AV47" s="13"/>
      <c r="AW47" s="13"/>
      <c r="AY47" s="36">
        <v>2003</v>
      </c>
      <c r="AZ47" s="37">
        <f t="shared" si="14"/>
        <v>3130.9989999999998</v>
      </c>
      <c r="BA47" s="37">
        <f t="shared" si="15"/>
        <v>3022.431</v>
      </c>
      <c r="BB47" s="37">
        <f t="shared" si="60"/>
        <v>2628.2530000000002</v>
      </c>
      <c r="BC47" s="37">
        <f t="shared" si="61"/>
        <v>2597.3399999999997</v>
      </c>
      <c r="BD47" s="37">
        <f t="shared" si="62"/>
        <v>2697.2919999999999</v>
      </c>
      <c r="BE47" s="37">
        <f t="shared" si="63"/>
        <v>2825.6769999999997</v>
      </c>
      <c r="BF47" s="37">
        <f t="shared" si="66"/>
        <v>2193.5516119504964</v>
      </c>
      <c r="BG47" s="37">
        <f t="shared" si="67"/>
        <v>2113.9672674100275</v>
      </c>
      <c r="BH47" s="37">
        <f t="shared" si="68"/>
        <v>1990.6804943057816</v>
      </c>
      <c r="BI47" s="37">
        <f t="shared" si="69"/>
        <v>1957.0734749997139</v>
      </c>
      <c r="BJ47" s="37">
        <f t="shared" si="70"/>
        <v>1832.6361516796153</v>
      </c>
      <c r="BK47" s="36">
        <f t="shared" si="16"/>
        <v>26989901.00034564</v>
      </c>
      <c r="BL47" s="36">
        <v>85419211</v>
      </c>
      <c r="BM47" s="38">
        <f t="shared" si="17"/>
        <v>112409112.00034565</v>
      </c>
      <c r="BN47" s="38">
        <v>112409112.00034565</v>
      </c>
      <c r="BO47" s="39">
        <f t="shared" si="18"/>
        <v>112409112.00034565</v>
      </c>
      <c r="BP47" s="39">
        <f t="shared" si="19"/>
        <v>112409112.00034565</v>
      </c>
      <c r="BQ47" s="39">
        <f t="shared" si="20"/>
        <v>112409112.00034565</v>
      </c>
      <c r="BR47" s="36"/>
      <c r="BS47" s="36"/>
      <c r="BT47" s="36"/>
      <c r="BU47" s="36"/>
      <c r="BV47" s="39"/>
      <c r="BW47" s="2"/>
      <c r="BX47" s="15">
        <v>2003</v>
      </c>
      <c r="BY47" s="16">
        <v>500.84699999999998</v>
      </c>
      <c r="BZ47" s="16">
        <v>376.24</v>
      </c>
      <c r="CA47" s="16">
        <v>316.78100000000001</v>
      </c>
      <c r="CB47" s="16">
        <v>282.18099999999998</v>
      </c>
      <c r="CC47" s="16">
        <v>257.98899999999998</v>
      </c>
      <c r="CD47" s="16">
        <v>239.56399999999999</v>
      </c>
      <c r="CE47" s="59">
        <v>211.49508421552946</v>
      </c>
      <c r="CF47" s="59">
        <v>192.56352666584556</v>
      </c>
      <c r="CG47" s="59">
        <v>177.27323058445975</v>
      </c>
      <c r="CH47" s="59">
        <v>163.10215701139489</v>
      </c>
      <c r="CI47" s="59">
        <v>150.65100152277034</v>
      </c>
      <c r="CK47" s="21">
        <v>2003</v>
      </c>
      <c r="CL47" s="24">
        <v>500.84699999999998</v>
      </c>
      <c r="CM47" s="24">
        <v>376.24</v>
      </c>
      <c r="CN47" s="24">
        <v>316.78100000000001</v>
      </c>
      <c r="CO47" s="24">
        <v>282.18099999999998</v>
      </c>
      <c r="CP47" s="24">
        <v>257.98899999999998</v>
      </c>
      <c r="CQ47" s="24">
        <v>239.56399999999999</v>
      </c>
      <c r="CR47" s="5">
        <v>211.49508421552946</v>
      </c>
      <c r="CS47" s="5">
        <v>192.56352666584556</v>
      </c>
      <c r="CT47" s="5">
        <v>177.27323058445975</v>
      </c>
      <c r="CU47" s="5">
        <v>163.10215701139489</v>
      </c>
      <c r="CV47" s="5">
        <v>150.65100152277034</v>
      </c>
      <c r="CX47" s="11">
        <v>2003</v>
      </c>
      <c r="CY47" s="13">
        <v>6.2514081146537768</v>
      </c>
      <c r="CZ47" s="13">
        <v>8.0332527110355088</v>
      </c>
      <c r="DA47" s="13">
        <v>8.2967507520968748</v>
      </c>
      <c r="DB47" s="13">
        <v>9.2045176677380827</v>
      </c>
      <c r="DC47" s="13">
        <v>10.455065913662986</v>
      </c>
      <c r="DD47" s="13">
        <v>11.795081898782788</v>
      </c>
      <c r="DE47" s="66">
        <v>10.371643483283526</v>
      </c>
      <c r="DF47" s="66">
        <v>10.978025299040059</v>
      </c>
      <c r="DG47" s="66">
        <v>11.229447828883252</v>
      </c>
      <c r="DH47" s="66">
        <v>11.99906556026102</v>
      </c>
      <c r="DI47" s="66">
        <v>12.164779079829875</v>
      </c>
      <c r="DK47" s="15">
        <v>2003</v>
      </c>
      <c r="DL47" s="16">
        <f t="shared" si="21"/>
        <v>3130.9989999999998</v>
      </c>
      <c r="DM47" s="16">
        <f t="shared" si="22"/>
        <v>3022.431</v>
      </c>
      <c r="DN47" s="16">
        <f t="shared" si="23"/>
        <v>2628.2530000000002</v>
      </c>
      <c r="DO47" s="16">
        <f t="shared" si="24"/>
        <v>2597.3399999999997</v>
      </c>
      <c r="DP47" s="16">
        <f t="shared" si="25"/>
        <v>2697.2919999999999</v>
      </c>
      <c r="DQ47" s="16">
        <f t="shared" si="26"/>
        <v>2825.6769999999997</v>
      </c>
      <c r="DR47" s="16">
        <f t="shared" si="27"/>
        <v>2193.5516119504964</v>
      </c>
      <c r="DS47" s="16">
        <f t="shared" si="28"/>
        <v>2113.9672674100275</v>
      </c>
      <c r="DT47" s="16">
        <f t="shared" si="29"/>
        <v>1990.6804943057816</v>
      </c>
      <c r="DU47" s="16">
        <f t="shared" si="30"/>
        <v>1957.0734749997139</v>
      </c>
      <c r="DV47" s="16">
        <f t="shared" si="31"/>
        <v>1832.6361516796153</v>
      </c>
      <c r="DW47" s="15">
        <f t="shared" si="32"/>
        <v>26989901.00034564</v>
      </c>
      <c r="DX47" s="15">
        <v>85419211</v>
      </c>
      <c r="DY47" s="15">
        <f t="shared" si="33"/>
        <v>112409112.00034565</v>
      </c>
      <c r="EA47" s="21">
        <v>2003</v>
      </c>
      <c r="EB47" s="24">
        <f t="shared" si="34"/>
        <v>3130.9989999999998</v>
      </c>
      <c r="EC47" s="24">
        <f t="shared" si="35"/>
        <v>3022.431</v>
      </c>
      <c r="ED47" s="24">
        <f t="shared" si="36"/>
        <v>2628.2530000000002</v>
      </c>
      <c r="EE47" s="24">
        <f t="shared" si="37"/>
        <v>2597.3399999999997</v>
      </c>
      <c r="EF47" s="24">
        <f t="shared" si="38"/>
        <v>2697.2919999999999</v>
      </c>
      <c r="EG47" s="24">
        <f t="shared" si="39"/>
        <v>2825.6769999999997</v>
      </c>
      <c r="EH47" s="24">
        <f t="shared" si="40"/>
        <v>2193.5516119504964</v>
      </c>
      <c r="EI47" s="24">
        <f t="shared" si="41"/>
        <v>2113.9672674100275</v>
      </c>
      <c r="EJ47" s="24">
        <f t="shared" si="42"/>
        <v>1990.6804943057816</v>
      </c>
      <c r="EK47" s="24">
        <f t="shared" si="43"/>
        <v>1957.0734749997139</v>
      </c>
      <c r="EL47" s="24">
        <f t="shared" si="44"/>
        <v>1832.6361516796153</v>
      </c>
      <c r="EM47" s="21">
        <f t="shared" si="45"/>
        <v>26989901.00034564</v>
      </c>
      <c r="EN47" s="21">
        <v>85419211</v>
      </c>
      <c r="EO47" s="21">
        <f t="shared" si="46"/>
        <v>112409112.00034565</v>
      </c>
      <c r="EQ47" s="11">
        <v>2003</v>
      </c>
      <c r="ER47" s="11">
        <f t="shared" si="47"/>
        <v>3130.9989999999998</v>
      </c>
      <c r="ES47" s="11">
        <f t="shared" si="48"/>
        <v>3022.431</v>
      </c>
      <c r="ET47" s="11">
        <f t="shared" si="49"/>
        <v>2628.2530000000002</v>
      </c>
      <c r="EU47" s="11">
        <f t="shared" si="50"/>
        <v>2597.3399999999997</v>
      </c>
      <c r="EV47" s="11">
        <f t="shared" si="51"/>
        <v>2697.2919999999999</v>
      </c>
      <c r="EW47" s="11">
        <f t="shared" si="52"/>
        <v>2825.6769999999997</v>
      </c>
      <c r="EX47" s="11">
        <f t="shared" si="53"/>
        <v>2193.5516119504964</v>
      </c>
      <c r="EY47" s="11">
        <f t="shared" si="54"/>
        <v>2113.9672674100275</v>
      </c>
      <c r="EZ47" s="11">
        <f t="shared" si="55"/>
        <v>1990.6804943057816</v>
      </c>
      <c r="FA47" s="11">
        <f t="shared" si="56"/>
        <v>1957.0734749997139</v>
      </c>
      <c r="FB47" s="11">
        <f t="shared" si="57"/>
        <v>1832.6361516796153</v>
      </c>
      <c r="FC47" s="11">
        <f t="shared" si="58"/>
        <v>26989901.00034564</v>
      </c>
      <c r="FD47" s="11">
        <v>85419211</v>
      </c>
      <c r="FE47" s="11">
        <f t="shared" si="59"/>
        <v>112409112.00034565</v>
      </c>
    </row>
    <row r="48" spans="1:161" x14ac:dyDescent="0.3">
      <c r="A48" s="15">
        <v>2004</v>
      </c>
      <c r="B48" s="16">
        <v>521.64200000000005</v>
      </c>
      <c r="C48" s="16">
        <v>379.89600000000002</v>
      </c>
      <c r="D48" s="16">
        <v>323.43799999999999</v>
      </c>
      <c r="E48" s="16">
        <v>280.58199999999999</v>
      </c>
      <c r="F48" s="16">
        <v>253.828</v>
      </c>
      <c r="G48" s="16">
        <v>234.08099999999999</v>
      </c>
      <c r="H48" s="59">
        <v>216.71559361286234</v>
      </c>
      <c r="I48" s="59">
        <v>196.93272162976513</v>
      </c>
      <c r="J48" s="59">
        <v>180.57699228330986</v>
      </c>
      <c r="K48" s="59">
        <v>167.6788514062107</v>
      </c>
      <c r="L48" s="59">
        <v>155.11784106785194</v>
      </c>
      <c r="M48" s="16"/>
      <c r="N48" s="18"/>
      <c r="O48" s="18"/>
      <c r="P48" s="18"/>
      <c r="R48" s="21">
        <v>2004</v>
      </c>
      <c r="S48" s="23">
        <v>0.77277728641522947</v>
      </c>
      <c r="T48" s="23">
        <v>0.84979501480963893</v>
      </c>
      <c r="U48" s="23">
        <v>0.87617879978045632</v>
      </c>
      <c r="V48" s="23">
        <v>0.89058732685125364</v>
      </c>
      <c r="W48" s="23">
        <v>0.89928272691931421</v>
      </c>
      <c r="X48" s="60">
        <v>0.90807071793691141</v>
      </c>
      <c r="Y48" s="60">
        <v>0.91229223115743252</v>
      </c>
      <c r="Z48" s="60">
        <v>0.91876566110080571</v>
      </c>
      <c r="AA48" s="60">
        <v>0.9267263299577061</v>
      </c>
      <c r="AB48" s="60">
        <v>0.93179079997117142</v>
      </c>
      <c r="AC48" s="60">
        <f t="shared" si="64"/>
        <v>0.87620638750496194</v>
      </c>
      <c r="AD48" s="21"/>
      <c r="AE48" s="21"/>
      <c r="AF48" s="21"/>
      <c r="AH48" s="11">
        <v>2004</v>
      </c>
      <c r="AI48" s="13">
        <v>5.9985737344769019</v>
      </c>
      <c r="AJ48" s="13">
        <v>7.6867800661233598</v>
      </c>
      <c r="AK48" s="13">
        <v>8.9096766613694118</v>
      </c>
      <c r="AL48" s="13">
        <v>8.9732627182071543</v>
      </c>
      <c r="AM48" s="13">
        <v>9.9309650629560178</v>
      </c>
      <c r="AN48" s="13">
        <v>11.106830541564673</v>
      </c>
      <c r="AO48" s="66">
        <v>12.409399761426094</v>
      </c>
      <c r="AP48" s="66">
        <v>10.911825053146693</v>
      </c>
      <c r="AQ48" s="66">
        <v>11.549788776023325</v>
      </c>
      <c r="AR48" s="66">
        <v>11.814306030640711</v>
      </c>
      <c r="AS48" s="66">
        <v>12.624007410767129</v>
      </c>
      <c r="AT48" s="66">
        <f t="shared" si="65"/>
        <v>8.9747465779024882</v>
      </c>
      <c r="AU48" s="13"/>
      <c r="AV48" s="13"/>
      <c r="AW48" s="13"/>
      <c r="AY48" s="36">
        <v>2004</v>
      </c>
      <c r="AZ48" s="37">
        <f t="shared" si="14"/>
        <v>3129.1080000000002</v>
      </c>
      <c r="BA48" s="37">
        <f t="shared" si="15"/>
        <v>2920.1770000000001</v>
      </c>
      <c r="BB48" s="37">
        <f t="shared" si="60"/>
        <v>2881.7279999999996</v>
      </c>
      <c r="BC48" s="37">
        <f t="shared" si="61"/>
        <v>2517.7359999999999</v>
      </c>
      <c r="BD48" s="37">
        <f t="shared" si="62"/>
        <v>2520.7570000000001</v>
      </c>
      <c r="BE48" s="37">
        <f t="shared" si="63"/>
        <v>2599.8980000000001</v>
      </c>
      <c r="BF48" s="37">
        <f t="shared" si="66"/>
        <v>2689.3104356767681</v>
      </c>
      <c r="BG48" s="37">
        <f t="shared" si="67"/>
        <v>2148.8954056640346</v>
      </c>
      <c r="BH48" s="37">
        <f t="shared" si="68"/>
        <v>2085.6261186818228</v>
      </c>
      <c r="BI48" s="37">
        <f t="shared" si="69"/>
        <v>1981.0092653793029</v>
      </c>
      <c r="BJ48" s="37">
        <f t="shared" si="70"/>
        <v>1958.2087751827607</v>
      </c>
      <c r="BK48" s="36">
        <f t="shared" si="16"/>
        <v>27432454.000584692</v>
      </c>
      <c r="BL48" s="36">
        <v>86275176</v>
      </c>
      <c r="BM48" s="38">
        <f t="shared" si="17"/>
        <v>113707630.00058469</v>
      </c>
      <c r="BN48" s="38">
        <v>113707630.00058469</v>
      </c>
      <c r="BO48" s="39">
        <f t="shared" si="18"/>
        <v>113707630.00058469</v>
      </c>
      <c r="BP48" s="39">
        <f t="shared" si="19"/>
        <v>113707630.00058469</v>
      </c>
      <c r="BQ48" s="39">
        <f t="shared" si="20"/>
        <v>113707630.00058469</v>
      </c>
      <c r="BR48" s="39"/>
      <c r="BS48" s="39"/>
      <c r="BT48" s="39"/>
      <c r="BU48" s="36"/>
      <c r="BV48" s="39"/>
      <c r="BW48" s="2"/>
      <c r="BX48" s="15">
        <v>2004</v>
      </c>
      <c r="BY48" s="16">
        <v>521.64200000000005</v>
      </c>
      <c r="BZ48" s="16">
        <v>379.89600000000002</v>
      </c>
      <c r="CA48" s="16">
        <v>323.43799999999999</v>
      </c>
      <c r="CB48" s="16">
        <v>280.58199999999999</v>
      </c>
      <c r="CC48" s="16">
        <v>253.828</v>
      </c>
      <c r="CD48" s="16">
        <v>234.08099999999999</v>
      </c>
      <c r="CE48" s="59">
        <v>216.71559361286234</v>
      </c>
      <c r="CF48" s="59">
        <v>196.93272162976513</v>
      </c>
      <c r="CG48" s="59">
        <v>180.57699228330986</v>
      </c>
      <c r="CH48" s="59">
        <v>167.6788514062107</v>
      </c>
      <c r="CI48" s="59">
        <v>155.11784106785194</v>
      </c>
      <c r="CK48" s="21">
        <v>2004</v>
      </c>
      <c r="CL48" s="24">
        <v>521.64200000000005</v>
      </c>
      <c r="CM48" s="24">
        <v>379.89600000000002</v>
      </c>
      <c r="CN48" s="24">
        <v>323.43799999999999</v>
      </c>
      <c r="CO48" s="24">
        <v>280.58199999999999</v>
      </c>
      <c r="CP48" s="24">
        <v>253.828</v>
      </c>
      <c r="CQ48" s="24">
        <v>234.08099999999999</v>
      </c>
      <c r="CR48" s="5">
        <v>216.71559361286234</v>
      </c>
      <c r="CS48" s="5">
        <v>196.93272162976513</v>
      </c>
      <c r="CT48" s="5">
        <v>180.57699228330986</v>
      </c>
      <c r="CU48" s="5">
        <v>167.6788514062107</v>
      </c>
      <c r="CV48" s="5">
        <v>155.11784106785194</v>
      </c>
      <c r="CX48" s="11">
        <v>2004</v>
      </c>
      <c r="CY48" s="13">
        <v>5.9985737344769019</v>
      </c>
      <c r="CZ48" s="13">
        <v>7.6867800661233598</v>
      </c>
      <c r="DA48" s="13">
        <v>8.9096766613694118</v>
      </c>
      <c r="DB48" s="13">
        <v>8.9732627182071543</v>
      </c>
      <c r="DC48" s="13">
        <v>9.9309650629560178</v>
      </c>
      <c r="DD48" s="13">
        <v>11.106830541564673</v>
      </c>
      <c r="DE48" s="66">
        <v>12.409399761426094</v>
      </c>
      <c r="DF48" s="66">
        <v>10.911825053146693</v>
      </c>
      <c r="DG48" s="66">
        <v>11.549788776023325</v>
      </c>
      <c r="DH48" s="66">
        <v>11.814306030640711</v>
      </c>
      <c r="DI48" s="66">
        <v>12.624007410767129</v>
      </c>
      <c r="DK48" s="15">
        <v>2004</v>
      </c>
      <c r="DL48" s="16">
        <f t="shared" si="21"/>
        <v>3129.1080000000002</v>
      </c>
      <c r="DM48" s="16">
        <f t="shared" si="22"/>
        <v>2920.1770000000001</v>
      </c>
      <c r="DN48" s="16">
        <f t="shared" si="23"/>
        <v>2881.7279999999996</v>
      </c>
      <c r="DO48" s="16">
        <f t="shared" si="24"/>
        <v>2517.7359999999999</v>
      </c>
      <c r="DP48" s="16">
        <f t="shared" si="25"/>
        <v>2520.7570000000001</v>
      </c>
      <c r="DQ48" s="16">
        <f t="shared" si="26"/>
        <v>2599.8980000000001</v>
      </c>
      <c r="DR48" s="16">
        <f t="shared" si="27"/>
        <v>2689.3104356767681</v>
      </c>
      <c r="DS48" s="16">
        <f t="shared" si="28"/>
        <v>2148.8954056640346</v>
      </c>
      <c r="DT48" s="16">
        <f t="shared" si="29"/>
        <v>2085.6261186818228</v>
      </c>
      <c r="DU48" s="16">
        <f t="shared" si="30"/>
        <v>1981.0092653793029</v>
      </c>
      <c r="DV48" s="16">
        <f t="shared" si="31"/>
        <v>1958.2087751827607</v>
      </c>
      <c r="DW48" s="15">
        <f t="shared" si="32"/>
        <v>27432454.000584692</v>
      </c>
      <c r="DX48" s="15">
        <v>86275176</v>
      </c>
      <c r="DY48" s="15">
        <f t="shared" si="33"/>
        <v>113707630.00058469</v>
      </c>
      <c r="EA48" s="21">
        <v>2004</v>
      </c>
      <c r="EB48" s="24">
        <f t="shared" si="34"/>
        <v>3129.1080000000002</v>
      </c>
      <c r="EC48" s="24">
        <f t="shared" si="35"/>
        <v>2920.1770000000001</v>
      </c>
      <c r="ED48" s="24">
        <f t="shared" si="36"/>
        <v>2881.7279999999996</v>
      </c>
      <c r="EE48" s="24">
        <f t="shared" si="37"/>
        <v>2517.7359999999999</v>
      </c>
      <c r="EF48" s="24">
        <f t="shared" si="38"/>
        <v>2520.7570000000001</v>
      </c>
      <c r="EG48" s="24">
        <f t="shared" si="39"/>
        <v>2599.8980000000001</v>
      </c>
      <c r="EH48" s="24">
        <f t="shared" si="40"/>
        <v>2689.3104356767681</v>
      </c>
      <c r="EI48" s="24">
        <f t="shared" si="41"/>
        <v>2148.8954056640346</v>
      </c>
      <c r="EJ48" s="24">
        <f t="shared" si="42"/>
        <v>2085.6261186818228</v>
      </c>
      <c r="EK48" s="24">
        <f t="shared" si="43"/>
        <v>1981.0092653793029</v>
      </c>
      <c r="EL48" s="24">
        <f t="shared" si="44"/>
        <v>1958.2087751827607</v>
      </c>
      <c r="EM48" s="21">
        <f t="shared" si="45"/>
        <v>27432454.000584692</v>
      </c>
      <c r="EN48" s="21">
        <v>86275176</v>
      </c>
      <c r="EO48" s="21">
        <f t="shared" si="46"/>
        <v>113707630.00058469</v>
      </c>
      <c r="EQ48" s="11">
        <v>2004</v>
      </c>
      <c r="ER48" s="11">
        <f t="shared" si="47"/>
        <v>3129.1080000000002</v>
      </c>
      <c r="ES48" s="11">
        <f t="shared" si="48"/>
        <v>2920.1770000000001</v>
      </c>
      <c r="ET48" s="11">
        <f t="shared" si="49"/>
        <v>2881.7279999999996</v>
      </c>
      <c r="EU48" s="11">
        <f t="shared" si="50"/>
        <v>2517.7359999999999</v>
      </c>
      <c r="EV48" s="11">
        <f t="shared" si="51"/>
        <v>2520.7570000000001</v>
      </c>
      <c r="EW48" s="11">
        <f t="shared" si="52"/>
        <v>2599.8980000000001</v>
      </c>
      <c r="EX48" s="11">
        <f t="shared" si="53"/>
        <v>2689.3104356767681</v>
      </c>
      <c r="EY48" s="11">
        <f t="shared" si="54"/>
        <v>2148.8954056640346</v>
      </c>
      <c r="EZ48" s="11">
        <f t="shared" si="55"/>
        <v>2085.6261186818228</v>
      </c>
      <c r="FA48" s="11">
        <f t="shared" si="56"/>
        <v>1981.0092653793029</v>
      </c>
      <c r="FB48" s="11">
        <f t="shared" si="57"/>
        <v>1958.2087751827607</v>
      </c>
      <c r="FC48" s="11">
        <f t="shared" si="58"/>
        <v>27432454.000584692</v>
      </c>
      <c r="FD48" s="11">
        <v>86275176</v>
      </c>
      <c r="FE48" s="11">
        <f t="shared" si="59"/>
        <v>113707630.00058469</v>
      </c>
    </row>
    <row r="49" spans="1:161" x14ac:dyDescent="0.3">
      <c r="A49" s="15">
        <v>2005</v>
      </c>
      <c r="B49" s="16">
        <v>544.35199999999998</v>
      </c>
      <c r="C49" s="16">
        <v>397.91199999999998</v>
      </c>
      <c r="D49" s="16">
        <v>326.75400000000002</v>
      </c>
      <c r="E49" s="16">
        <v>287.38200000000001</v>
      </c>
      <c r="F49" s="16">
        <v>253.71700000000001</v>
      </c>
      <c r="G49" s="16">
        <v>231.60499999999999</v>
      </c>
      <c r="H49" s="59">
        <v>218.49564433205222</v>
      </c>
      <c r="I49" s="59">
        <v>200.20675924582565</v>
      </c>
      <c r="J49" s="59">
        <v>182.71544029213871</v>
      </c>
      <c r="K49" s="59">
        <v>168.64362481561096</v>
      </c>
      <c r="L49" s="59">
        <v>157.85753131437247</v>
      </c>
      <c r="M49" s="16"/>
      <c r="N49" s="18"/>
      <c r="O49" s="18"/>
      <c r="P49" s="18"/>
      <c r="R49" s="21">
        <v>2005</v>
      </c>
      <c r="S49" s="23">
        <v>0.77791069382174949</v>
      </c>
      <c r="T49" s="23">
        <v>0.8453760321220245</v>
      </c>
      <c r="U49" s="23">
        <v>0.87444237982893847</v>
      </c>
      <c r="V49" s="23">
        <v>0.89150116074208663</v>
      </c>
      <c r="W49" s="23">
        <v>0.90132769154379222</v>
      </c>
      <c r="X49" s="60">
        <v>0.90594825916801081</v>
      </c>
      <c r="Y49" s="60">
        <v>0.91415465543291718</v>
      </c>
      <c r="Z49" s="60">
        <v>0.91809678626302005</v>
      </c>
      <c r="AA49" s="60">
        <v>0.92414180055605433</v>
      </c>
      <c r="AB49" s="60">
        <v>0.93157562735931454</v>
      </c>
      <c r="AC49" s="60">
        <f t="shared" si="64"/>
        <v>0.8756205961524367</v>
      </c>
      <c r="AD49" s="21"/>
      <c r="AE49" s="21"/>
      <c r="AF49" s="21"/>
      <c r="AH49" s="11">
        <v>2005</v>
      </c>
      <c r="AI49" s="13">
        <v>6.2122744106754455</v>
      </c>
      <c r="AJ49" s="13">
        <v>7.2809741852469889</v>
      </c>
      <c r="AK49" s="13">
        <v>8.161102848014103</v>
      </c>
      <c r="AL49" s="13">
        <v>9.3715403191570807</v>
      </c>
      <c r="AM49" s="13">
        <v>9.478355805878202</v>
      </c>
      <c r="AN49" s="13">
        <v>10.36303620388161</v>
      </c>
      <c r="AO49" s="66">
        <v>11.484300624349885</v>
      </c>
      <c r="AP49" s="66">
        <v>12.831138180656575</v>
      </c>
      <c r="AQ49" s="66">
        <v>11.282667796333877</v>
      </c>
      <c r="AR49" s="66">
        <v>11.94231297175334</v>
      </c>
      <c r="AS49" s="66">
        <v>12.215819951173396</v>
      </c>
      <c r="AT49" s="66">
        <f t="shared" si="65"/>
        <v>8.4729839076817512</v>
      </c>
      <c r="AU49" s="13"/>
      <c r="AV49" s="13"/>
      <c r="AW49" s="13"/>
      <c r="AY49" s="36">
        <v>2005</v>
      </c>
      <c r="AZ49" s="37">
        <f t="shared" si="14"/>
        <v>3381.6639999999998</v>
      </c>
      <c r="BA49" s="37">
        <f t="shared" si="15"/>
        <v>2897.1869999999999</v>
      </c>
      <c r="BB49" s="37">
        <f t="shared" si="60"/>
        <v>2666.6730000000002</v>
      </c>
      <c r="BC49" s="37">
        <f t="shared" si="61"/>
        <v>2693.2120000000004</v>
      </c>
      <c r="BD49" s="37">
        <f t="shared" si="62"/>
        <v>2404.8199999999997</v>
      </c>
      <c r="BE49" s="37">
        <f t="shared" si="63"/>
        <v>2400.1309999999999</v>
      </c>
      <c r="BF49" s="37">
        <f t="shared" si="66"/>
        <v>2509.2696646203176</v>
      </c>
      <c r="BG49" s="37">
        <f t="shared" si="67"/>
        <v>2568.8805925846323</v>
      </c>
      <c r="BH49" s="37">
        <f t="shared" si="68"/>
        <v>2061.5176140770786</v>
      </c>
      <c r="BI49" s="37">
        <f t="shared" si="69"/>
        <v>2013.9949482389743</v>
      </c>
      <c r="BJ49" s="37">
        <f t="shared" si="70"/>
        <v>1928.3591804730902</v>
      </c>
      <c r="BK49" s="36">
        <f t="shared" si="16"/>
        <v>27525708.999994095</v>
      </c>
      <c r="BL49" s="36">
        <v>87614373</v>
      </c>
      <c r="BM49" s="38">
        <f t="shared" si="17"/>
        <v>115140081.9999941</v>
      </c>
      <c r="BN49" s="38">
        <v>115140081.9999941</v>
      </c>
      <c r="BO49" s="39">
        <f t="shared" si="18"/>
        <v>115140081.9999941</v>
      </c>
      <c r="BP49" s="39">
        <f t="shared" si="19"/>
        <v>115140081.9999941</v>
      </c>
      <c r="BQ49" s="39">
        <f t="shared" si="20"/>
        <v>115140081.9999941</v>
      </c>
      <c r="BR49" s="39"/>
      <c r="BS49" s="39"/>
      <c r="BT49" s="39"/>
      <c r="BU49" s="36"/>
      <c r="BV49" s="39"/>
      <c r="BW49" s="2"/>
      <c r="BX49" s="15">
        <v>2005</v>
      </c>
      <c r="BY49" s="16">
        <v>544.35199999999998</v>
      </c>
      <c r="BZ49" s="16">
        <v>397.91199999999998</v>
      </c>
      <c r="CA49" s="16">
        <v>326.75400000000002</v>
      </c>
      <c r="CB49" s="16">
        <v>287.38200000000001</v>
      </c>
      <c r="CC49" s="16">
        <v>253.71700000000001</v>
      </c>
      <c r="CD49" s="16">
        <v>231.60499999999999</v>
      </c>
      <c r="CE49" s="59">
        <v>218.49564433205222</v>
      </c>
      <c r="CF49" s="59">
        <v>200.20675924582565</v>
      </c>
      <c r="CG49" s="59">
        <v>182.71544029213871</v>
      </c>
      <c r="CH49" s="59">
        <v>168.64362481561096</v>
      </c>
      <c r="CI49" s="59">
        <v>157.85753131437247</v>
      </c>
      <c r="CK49" s="21">
        <v>2005</v>
      </c>
      <c r="CL49" s="24">
        <v>544.35199999999998</v>
      </c>
      <c r="CM49" s="24">
        <v>397.91199999999998</v>
      </c>
      <c r="CN49" s="24">
        <v>326.75400000000002</v>
      </c>
      <c r="CO49" s="24">
        <v>287.38200000000001</v>
      </c>
      <c r="CP49" s="24">
        <v>253.71700000000001</v>
      </c>
      <c r="CQ49" s="24">
        <v>231.60499999999999</v>
      </c>
      <c r="CR49" s="5">
        <v>218.49564433205222</v>
      </c>
      <c r="CS49" s="5">
        <v>200.20675924582565</v>
      </c>
      <c r="CT49" s="5">
        <v>182.71544029213871</v>
      </c>
      <c r="CU49" s="5">
        <v>168.64362481561096</v>
      </c>
      <c r="CV49" s="5">
        <v>157.85753131437247</v>
      </c>
      <c r="CX49" s="11">
        <v>2005</v>
      </c>
      <c r="CY49" s="13">
        <v>6.2122744106754455</v>
      </c>
      <c r="CZ49" s="13">
        <v>7.2809741852469889</v>
      </c>
      <c r="DA49" s="13">
        <v>8.161102848014103</v>
      </c>
      <c r="DB49" s="13">
        <v>9.3715403191570807</v>
      </c>
      <c r="DC49" s="13">
        <v>9.478355805878202</v>
      </c>
      <c r="DD49" s="13">
        <v>10.36303620388161</v>
      </c>
      <c r="DE49" s="66">
        <v>11.484300624349885</v>
      </c>
      <c r="DF49" s="66">
        <v>12.831138180656575</v>
      </c>
      <c r="DG49" s="66">
        <v>11.282667796333877</v>
      </c>
      <c r="DH49" s="66">
        <v>11.94231297175334</v>
      </c>
      <c r="DI49" s="66">
        <v>12.215819951173396</v>
      </c>
      <c r="DK49" s="15">
        <v>2005</v>
      </c>
      <c r="DL49" s="16">
        <f t="shared" si="21"/>
        <v>3381.6639999999998</v>
      </c>
      <c r="DM49" s="16">
        <f t="shared" si="22"/>
        <v>2897.1869999999999</v>
      </c>
      <c r="DN49" s="16">
        <f t="shared" si="23"/>
        <v>2666.6730000000002</v>
      </c>
      <c r="DO49" s="16">
        <f t="shared" si="24"/>
        <v>2693.2120000000004</v>
      </c>
      <c r="DP49" s="16">
        <f t="shared" si="25"/>
        <v>2404.8199999999997</v>
      </c>
      <c r="DQ49" s="16">
        <f t="shared" si="26"/>
        <v>2400.1309999999999</v>
      </c>
      <c r="DR49" s="16">
        <f t="shared" si="27"/>
        <v>2509.2696646203176</v>
      </c>
      <c r="DS49" s="16">
        <f t="shared" si="28"/>
        <v>2568.8805925846323</v>
      </c>
      <c r="DT49" s="16">
        <f t="shared" si="29"/>
        <v>2061.5176140770786</v>
      </c>
      <c r="DU49" s="16">
        <f t="shared" si="30"/>
        <v>2013.9949482389743</v>
      </c>
      <c r="DV49" s="16">
        <f t="shared" si="31"/>
        <v>1928.3591804730902</v>
      </c>
      <c r="DW49" s="15">
        <f t="shared" si="32"/>
        <v>27525708.999994095</v>
      </c>
      <c r="DX49" s="15">
        <v>87614373</v>
      </c>
      <c r="DY49" s="15">
        <f t="shared" si="33"/>
        <v>115140081.9999941</v>
      </c>
      <c r="EA49" s="21">
        <v>2005</v>
      </c>
      <c r="EB49" s="24">
        <f t="shared" si="34"/>
        <v>3381.6639999999998</v>
      </c>
      <c r="EC49" s="24">
        <f t="shared" si="35"/>
        <v>2897.1869999999999</v>
      </c>
      <c r="ED49" s="24">
        <f t="shared" si="36"/>
        <v>2666.6730000000002</v>
      </c>
      <c r="EE49" s="24">
        <f t="shared" si="37"/>
        <v>2693.2120000000004</v>
      </c>
      <c r="EF49" s="24">
        <f t="shared" si="38"/>
        <v>2404.8199999999997</v>
      </c>
      <c r="EG49" s="24">
        <f t="shared" si="39"/>
        <v>2400.1309999999999</v>
      </c>
      <c r="EH49" s="24">
        <f t="shared" si="40"/>
        <v>2509.2696646203176</v>
      </c>
      <c r="EI49" s="24">
        <f t="shared" si="41"/>
        <v>2568.8805925846323</v>
      </c>
      <c r="EJ49" s="24">
        <f t="shared" si="42"/>
        <v>2061.5176140770786</v>
      </c>
      <c r="EK49" s="24">
        <f t="shared" si="43"/>
        <v>2013.9949482389743</v>
      </c>
      <c r="EL49" s="24">
        <f t="shared" si="44"/>
        <v>1928.3591804730902</v>
      </c>
      <c r="EM49" s="21">
        <f t="shared" si="45"/>
        <v>27525708.999994095</v>
      </c>
      <c r="EN49" s="21">
        <v>87614373</v>
      </c>
      <c r="EO49" s="21">
        <f t="shared" si="46"/>
        <v>115140081.9999941</v>
      </c>
      <c r="EQ49" s="11">
        <v>2005</v>
      </c>
      <c r="ER49" s="11">
        <f t="shared" si="47"/>
        <v>3381.6639999999998</v>
      </c>
      <c r="ES49" s="11">
        <f t="shared" si="48"/>
        <v>2897.1869999999999</v>
      </c>
      <c r="ET49" s="11">
        <f t="shared" si="49"/>
        <v>2666.6730000000002</v>
      </c>
      <c r="EU49" s="11">
        <f t="shared" si="50"/>
        <v>2693.2120000000004</v>
      </c>
      <c r="EV49" s="11">
        <f t="shared" si="51"/>
        <v>2404.8199999999997</v>
      </c>
      <c r="EW49" s="11">
        <f t="shared" si="52"/>
        <v>2400.1309999999999</v>
      </c>
      <c r="EX49" s="11">
        <f t="shared" si="53"/>
        <v>2509.2696646203176</v>
      </c>
      <c r="EY49" s="11">
        <f t="shared" si="54"/>
        <v>2568.8805925846323</v>
      </c>
      <c r="EZ49" s="11">
        <f t="shared" si="55"/>
        <v>2061.5176140770786</v>
      </c>
      <c r="FA49" s="11">
        <f t="shared" si="56"/>
        <v>2013.9949482389743</v>
      </c>
      <c r="FB49" s="11">
        <f t="shared" si="57"/>
        <v>1928.3591804730902</v>
      </c>
      <c r="FC49" s="11">
        <f t="shared" si="58"/>
        <v>27525708.999994095</v>
      </c>
      <c r="FD49" s="11">
        <v>87614373</v>
      </c>
      <c r="FE49" s="11">
        <f t="shared" si="59"/>
        <v>115140081.9999941</v>
      </c>
    </row>
    <row r="50" spans="1:161" x14ac:dyDescent="0.3">
      <c r="A50" s="15">
        <v>2006</v>
      </c>
      <c r="B50" s="16">
        <v>557.84299999999996</v>
      </c>
      <c r="C50" s="16">
        <v>409.23899999999998</v>
      </c>
      <c r="D50" s="16">
        <v>337.54599999999999</v>
      </c>
      <c r="E50" s="16">
        <v>284.30099999999999</v>
      </c>
      <c r="F50" s="16">
        <v>255.626</v>
      </c>
      <c r="G50" s="16">
        <v>228.334</v>
      </c>
      <c r="H50" s="59">
        <v>216.92428980903995</v>
      </c>
      <c r="I50" s="59">
        <v>197.50297813098953</v>
      </c>
      <c r="J50" s="59">
        <v>182.56739804713129</v>
      </c>
      <c r="K50" s="59">
        <v>167.31692032541309</v>
      </c>
      <c r="L50" s="59">
        <v>155.42141368742602</v>
      </c>
      <c r="M50" s="15"/>
      <c r="N50" s="15"/>
      <c r="O50" s="15"/>
      <c r="P50" s="18"/>
      <c r="R50" s="21">
        <v>2006</v>
      </c>
      <c r="S50" s="23">
        <v>0.76660582202576</v>
      </c>
      <c r="T50" s="23">
        <v>0.84060839115261321</v>
      </c>
      <c r="U50" s="23">
        <v>0.86317670356418019</v>
      </c>
      <c r="V50" s="23">
        <v>0.88438187038877114</v>
      </c>
      <c r="W50" s="23">
        <v>0.895460159240411</v>
      </c>
      <c r="X50" s="60">
        <v>0.90368701472797131</v>
      </c>
      <c r="Y50" s="60">
        <v>0.90819710138249898</v>
      </c>
      <c r="Z50" s="60">
        <v>0.91620727703324034</v>
      </c>
      <c r="AA50" s="60">
        <v>0.92005514878693118</v>
      </c>
      <c r="AB50" s="60">
        <v>0.92595562260459408</v>
      </c>
      <c r="AC50" s="60">
        <f t="shared" si="64"/>
        <v>0.86822376925129308</v>
      </c>
      <c r="AD50" s="21"/>
      <c r="AE50" s="21"/>
      <c r="AF50" s="21"/>
      <c r="AH50" s="11">
        <v>2006</v>
      </c>
      <c r="AI50" s="13">
        <v>6.3271619434141861</v>
      </c>
      <c r="AJ50" s="13">
        <v>7.8536136585222813</v>
      </c>
      <c r="AK50" s="13">
        <v>8.0988250490303546</v>
      </c>
      <c r="AL50" s="13">
        <v>9.0519027368880174</v>
      </c>
      <c r="AM50" s="13">
        <v>10.349999608803486</v>
      </c>
      <c r="AN50" s="13">
        <v>10.250689779007944</v>
      </c>
      <c r="AO50" s="66">
        <v>11.153405545008091</v>
      </c>
      <c r="AP50" s="66">
        <v>12.360186700514129</v>
      </c>
      <c r="AQ50" s="66">
        <v>13.809745031991305</v>
      </c>
      <c r="AR50" s="66">
        <v>12.143175714756206</v>
      </c>
      <c r="AS50" s="66">
        <v>12.853130790905173</v>
      </c>
      <c r="AT50" s="66">
        <f t="shared" si="65"/>
        <v>8.1284915735241601</v>
      </c>
      <c r="AU50" s="13"/>
      <c r="AV50" s="13"/>
      <c r="AW50" s="13"/>
      <c r="AY50" s="36">
        <v>2006</v>
      </c>
      <c r="AZ50" s="37">
        <f t="shared" si="14"/>
        <v>3529.5629999999996</v>
      </c>
      <c r="BA50" s="37">
        <f t="shared" si="15"/>
        <v>3214.0049999999997</v>
      </c>
      <c r="BB50" s="37">
        <f t="shared" si="60"/>
        <v>2733.7260000000001</v>
      </c>
      <c r="BC50" s="37">
        <f t="shared" si="61"/>
        <v>2573.4650000000001</v>
      </c>
      <c r="BD50" s="37">
        <f t="shared" si="62"/>
        <v>2645.7289999999998</v>
      </c>
      <c r="BE50" s="37">
        <f t="shared" si="63"/>
        <v>2340.5809999999997</v>
      </c>
      <c r="BF50" s="37">
        <f t="shared" si="66"/>
        <v>2419.4445768030882</v>
      </c>
      <c r="BG50" s="37">
        <f t="shared" si="67"/>
        <v>2441.1736836065897</v>
      </c>
      <c r="BH50" s="37">
        <f t="shared" si="68"/>
        <v>2521.2092181849503</v>
      </c>
      <c r="BI50" s="37">
        <f t="shared" si="69"/>
        <v>2031.7587635633552</v>
      </c>
      <c r="BJ50" s="37">
        <f t="shared" si="70"/>
        <v>1997.651757831866</v>
      </c>
      <c r="BK50" s="36">
        <f t="shared" si="16"/>
        <v>28448306.999989852</v>
      </c>
      <c r="BL50" s="36">
        <v>90166496</v>
      </c>
      <c r="BM50" s="38">
        <f t="shared" si="17"/>
        <v>118614802.99998985</v>
      </c>
      <c r="BN50" s="38">
        <v>118614802.99998985</v>
      </c>
      <c r="BO50" s="39">
        <f t="shared" si="18"/>
        <v>118614802.99998985</v>
      </c>
      <c r="BP50" s="39">
        <f t="shared" si="19"/>
        <v>118614802.99998985</v>
      </c>
      <c r="BQ50" s="39">
        <f t="shared" si="20"/>
        <v>118614802.99998985</v>
      </c>
      <c r="BR50" s="39"/>
      <c r="BS50" s="39"/>
      <c r="BT50" s="39"/>
      <c r="BU50" s="36"/>
      <c r="BV50" s="39"/>
      <c r="BW50" s="2"/>
      <c r="BX50" s="15">
        <v>2006</v>
      </c>
      <c r="BY50" s="16">
        <v>557.84299999999996</v>
      </c>
      <c r="BZ50" s="16">
        <v>409.23899999999998</v>
      </c>
      <c r="CA50" s="16">
        <v>337.54599999999999</v>
      </c>
      <c r="CB50" s="16">
        <v>284.30099999999999</v>
      </c>
      <c r="CC50" s="16">
        <v>255.626</v>
      </c>
      <c r="CD50" s="16">
        <v>228.334</v>
      </c>
      <c r="CE50" s="59">
        <v>216.92428980903995</v>
      </c>
      <c r="CF50" s="59">
        <v>197.50297813098953</v>
      </c>
      <c r="CG50" s="59">
        <v>182.56739804713129</v>
      </c>
      <c r="CH50" s="59">
        <v>167.31692032541309</v>
      </c>
      <c r="CI50" s="59">
        <v>155.42141368742602</v>
      </c>
      <c r="CK50" s="21">
        <v>2006</v>
      </c>
      <c r="CL50" s="24">
        <v>557.84299999999996</v>
      </c>
      <c r="CM50" s="24">
        <v>409.23899999999998</v>
      </c>
      <c r="CN50" s="24">
        <v>337.54599999999999</v>
      </c>
      <c r="CO50" s="24">
        <v>284.30099999999999</v>
      </c>
      <c r="CP50" s="24">
        <v>255.626</v>
      </c>
      <c r="CQ50" s="24">
        <v>228.334</v>
      </c>
      <c r="CR50" s="5">
        <v>216.92428980903995</v>
      </c>
      <c r="CS50" s="5">
        <v>197.50297813098953</v>
      </c>
      <c r="CT50" s="5">
        <v>182.56739804713129</v>
      </c>
      <c r="CU50" s="5">
        <v>167.31692032541309</v>
      </c>
      <c r="CV50" s="5">
        <v>155.42141368742602</v>
      </c>
      <c r="CX50" s="11">
        <v>2006</v>
      </c>
      <c r="CY50" s="13">
        <v>6.3271619434141861</v>
      </c>
      <c r="CZ50" s="13">
        <v>7.8536136585222813</v>
      </c>
      <c r="DA50" s="13">
        <v>8.0988250490303546</v>
      </c>
      <c r="DB50" s="13">
        <v>9.0519027368880174</v>
      </c>
      <c r="DC50" s="13">
        <v>10.349999608803486</v>
      </c>
      <c r="DD50" s="13">
        <v>10.250689779007944</v>
      </c>
      <c r="DE50" s="66">
        <v>11.153405545008091</v>
      </c>
      <c r="DF50" s="66">
        <v>12.360186700514129</v>
      </c>
      <c r="DG50" s="66">
        <v>13.809745031991305</v>
      </c>
      <c r="DH50" s="66">
        <v>12.143175714756206</v>
      </c>
      <c r="DI50" s="66">
        <v>12.853130790905173</v>
      </c>
      <c r="DK50" s="15">
        <v>2006</v>
      </c>
      <c r="DL50" s="16">
        <f t="shared" si="21"/>
        <v>3529.5629999999996</v>
      </c>
      <c r="DM50" s="16">
        <f t="shared" si="22"/>
        <v>3214.0049999999997</v>
      </c>
      <c r="DN50" s="16">
        <f t="shared" si="23"/>
        <v>2733.7260000000001</v>
      </c>
      <c r="DO50" s="16">
        <f t="shared" si="24"/>
        <v>2573.4650000000001</v>
      </c>
      <c r="DP50" s="16">
        <f t="shared" si="25"/>
        <v>2645.7289999999998</v>
      </c>
      <c r="DQ50" s="16">
        <f t="shared" si="26"/>
        <v>2340.5809999999997</v>
      </c>
      <c r="DR50" s="16">
        <f t="shared" si="27"/>
        <v>2419.4445768030882</v>
      </c>
      <c r="DS50" s="16">
        <f t="shared" si="28"/>
        <v>2441.1736836065897</v>
      </c>
      <c r="DT50" s="16">
        <f t="shared" si="29"/>
        <v>2521.2092181849503</v>
      </c>
      <c r="DU50" s="16">
        <f t="shared" si="30"/>
        <v>2031.7587635633552</v>
      </c>
      <c r="DV50" s="16">
        <f t="shared" si="31"/>
        <v>1997.651757831866</v>
      </c>
      <c r="DW50" s="15">
        <f t="shared" si="32"/>
        <v>28448306.999989852</v>
      </c>
      <c r="DX50" s="15">
        <v>90166496</v>
      </c>
      <c r="DY50" s="15">
        <f t="shared" si="33"/>
        <v>118614802.99998985</v>
      </c>
      <c r="EA50" s="21">
        <v>2006</v>
      </c>
      <c r="EB50" s="24">
        <f t="shared" si="34"/>
        <v>3529.5629999999996</v>
      </c>
      <c r="EC50" s="24">
        <f t="shared" si="35"/>
        <v>3214.0049999999997</v>
      </c>
      <c r="ED50" s="24">
        <f t="shared" si="36"/>
        <v>2733.7260000000001</v>
      </c>
      <c r="EE50" s="24">
        <f t="shared" si="37"/>
        <v>2573.4650000000001</v>
      </c>
      <c r="EF50" s="24">
        <f t="shared" si="38"/>
        <v>2645.7289999999998</v>
      </c>
      <c r="EG50" s="24">
        <f t="shared" si="39"/>
        <v>2340.5809999999997</v>
      </c>
      <c r="EH50" s="24">
        <f t="shared" si="40"/>
        <v>2419.4445768030882</v>
      </c>
      <c r="EI50" s="24">
        <f t="shared" si="41"/>
        <v>2441.1736836065897</v>
      </c>
      <c r="EJ50" s="24">
        <f t="shared" si="42"/>
        <v>2521.2092181849503</v>
      </c>
      <c r="EK50" s="24">
        <f t="shared" si="43"/>
        <v>2031.7587635633552</v>
      </c>
      <c r="EL50" s="24">
        <f t="shared" si="44"/>
        <v>1997.651757831866</v>
      </c>
      <c r="EM50" s="21">
        <f t="shared" si="45"/>
        <v>28448306.999989852</v>
      </c>
      <c r="EN50" s="21">
        <v>90166496</v>
      </c>
      <c r="EO50" s="21">
        <f t="shared" si="46"/>
        <v>118614802.99998985</v>
      </c>
      <c r="EQ50" s="11">
        <v>2006</v>
      </c>
      <c r="ER50" s="11">
        <f t="shared" si="47"/>
        <v>3529.5629999999996</v>
      </c>
      <c r="ES50" s="11">
        <f t="shared" si="48"/>
        <v>3214.0049999999997</v>
      </c>
      <c r="ET50" s="11">
        <f t="shared" si="49"/>
        <v>2733.7260000000001</v>
      </c>
      <c r="EU50" s="11">
        <f t="shared" si="50"/>
        <v>2573.4650000000001</v>
      </c>
      <c r="EV50" s="11">
        <f t="shared" si="51"/>
        <v>2645.7289999999998</v>
      </c>
      <c r="EW50" s="11">
        <f t="shared" si="52"/>
        <v>2340.5809999999997</v>
      </c>
      <c r="EX50" s="11">
        <f t="shared" si="53"/>
        <v>2419.4445768030882</v>
      </c>
      <c r="EY50" s="11">
        <f t="shared" si="54"/>
        <v>2441.1736836065897</v>
      </c>
      <c r="EZ50" s="11">
        <f t="shared" si="55"/>
        <v>2521.2092181849503</v>
      </c>
      <c r="FA50" s="11">
        <f t="shared" si="56"/>
        <v>2031.7587635633552</v>
      </c>
      <c r="FB50" s="11">
        <f t="shared" si="57"/>
        <v>1997.651757831866</v>
      </c>
      <c r="FC50" s="11">
        <f t="shared" si="58"/>
        <v>28448306.999989852</v>
      </c>
      <c r="FD50" s="11">
        <v>90166496</v>
      </c>
      <c r="FE50" s="11">
        <f t="shared" si="59"/>
        <v>118614802.99998985</v>
      </c>
    </row>
    <row r="51" spans="1:161" x14ac:dyDescent="0.3">
      <c r="A51" s="15">
        <v>2007</v>
      </c>
      <c r="B51" s="16">
        <v>525.42399999999998</v>
      </c>
      <c r="C51" s="16">
        <v>420.07499999999999</v>
      </c>
      <c r="D51" s="16">
        <v>353.26499999999999</v>
      </c>
      <c r="E51" s="16">
        <v>299.69200000000001</v>
      </c>
      <c r="F51" s="16">
        <v>257.65800000000002</v>
      </c>
      <c r="G51" s="16">
        <v>232.74700000000001</v>
      </c>
      <c r="H51" s="59">
        <v>217.15023202604524</v>
      </c>
      <c r="I51" s="59">
        <v>197.77605099888612</v>
      </c>
      <c r="J51" s="59">
        <v>180.83785623207962</v>
      </c>
      <c r="K51" s="59">
        <v>168.42465088382062</v>
      </c>
      <c r="L51" s="59">
        <v>154.91120985916839</v>
      </c>
      <c r="M51" s="15"/>
      <c r="N51" s="15"/>
      <c r="O51" s="15"/>
      <c r="P51" s="18"/>
      <c r="R51" s="21">
        <v>2007</v>
      </c>
      <c r="S51" s="23">
        <v>0.77051955008034279</v>
      </c>
      <c r="T51" s="23">
        <v>0.84744879906019555</v>
      </c>
      <c r="U51" s="23">
        <v>0.86953939377761169</v>
      </c>
      <c r="V51" s="23">
        <v>0.88714885623578543</v>
      </c>
      <c r="W51" s="23">
        <v>0.90144663518756418</v>
      </c>
      <c r="X51" s="60">
        <v>0.9093098058489415</v>
      </c>
      <c r="Y51" s="60">
        <v>0.91644675111304752</v>
      </c>
      <c r="Z51" s="60">
        <v>0.92035933249221602</v>
      </c>
      <c r="AA51" s="60">
        <v>0.92730830409645271</v>
      </c>
      <c r="AB51" s="60">
        <v>0.93064640212563488</v>
      </c>
      <c r="AC51" s="60">
        <f t="shared" si="64"/>
        <v>0.8731096458357358</v>
      </c>
      <c r="AD51" s="21"/>
      <c r="AE51" s="21"/>
      <c r="AF51" s="21"/>
      <c r="AH51" s="11">
        <v>2007</v>
      </c>
      <c r="AI51" s="13">
        <v>5.7870272389536828</v>
      </c>
      <c r="AJ51" s="13">
        <v>7.6496935071118255</v>
      </c>
      <c r="AK51" s="13">
        <v>8.3211356913365329</v>
      </c>
      <c r="AL51" s="13">
        <v>8.5895919811005967</v>
      </c>
      <c r="AM51" s="13">
        <v>9.8841332308719316</v>
      </c>
      <c r="AN51" s="13">
        <v>10.528217334702488</v>
      </c>
      <c r="AO51" s="66">
        <v>10.584590344102335</v>
      </c>
      <c r="AP51" s="66">
        <v>11.516710697587348</v>
      </c>
      <c r="AQ51" s="66">
        <v>12.762800906284509</v>
      </c>
      <c r="AR51" s="66">
        <v>14.259576386700159</v>
      </c>
      <c r="AS51" s="66">
        <v>12.538721119076301</v>
      </c>
      <c r="AT51" s="66">
        <f t="shared" si="65"/>
        <v>8.6178920262065137</v>
      </c>
      <c r="AU51" s="13"/>
      <c r="AV51" s="13"/>
      <c r="AW51" s="13"/>
      <c r="AY51" s="36">
        <v>2007</v>
      </c>
      <c r="AZ51" s="37">
        <f t="shared" si="14"/>
        <v>3040.6429999999996</v>
      </c>
      <c r="BA51" s="37">
        <f t="shared" si="15"/>
        <v>3213.4450000000002</v>
      </c>
      <c r="BB51" s="37">
        <f t="shared" si="60"/>
        <v>2939.5660000000003</v>
      </c>
      <c r="BC51" s="37">
        <f t="shared" si="61"/>
        <v>2574.232</v>
      </c>
      <c r="BD51" s="37">
        <f t="shared" si="62"/>
        <v>2546.7260000000001</v>
      </c>
      <c r="BE51" s="37">
        <f t="shared" si="63"/>
        <v>2450.4110000000001</v>
      </c>
      <c r="BF51" s="37">
        <f t="shared" si="66"/>
        <v>2298.4462491224599</v>
      </c>
      <c r="BG51" s="37">
        <f t="shared" si="67"/>
        <v>2277.7295622654528</v>
      </c>
      <c r="BH51" s="37">
        <f t="shared" si="68"/>
        <v>2307.9975554093335</v>
      </c>
      <c r="BI51" s="37">
        <f t="shared" si="69"/>
        <v>2401.6641746811465</v>
      </c>
      <c r="BJ51" s="37">
        <f t="shared" si="70"/>
        <v>1942.3884586428157</v>
      </c>
      <c r="BK51" s="36">
        <f t="shared" si="16"/>
        <v>27993249.000121206</v>
      </c>
      <c r="BL51" s="36">
        <v>91633772</v>
      </c>
      <c r="BM51" s="38">
        <f t="shared" si="17"/>
        <v>119627021.00012121</v>
      </c>
      <c r="BN51" s="38">
        <v>119627021.00012121</v>
      </c>
      <c r="BO51" s="39">
        <f t="shared" si="18"/>
        <v>119627021.00012121</v>
      </c>
      <c r="BP51" s="39">
        <f t="shared" si="19"/>
        <v>119627021.00012121</v>
      </c>
      <c r="BQ51" s="39">
        <f t="shared" si="20"/>
        <v>119627021.00012121</v>
      </c>
      <c r="BR51" s="39"/>
      <c r="BS51" s="39"/>
      <c r="BT51" s="39"/>
      <c r="BU51" s="36"/>
      <c r="BV51" s="39"/>
      <c r="BW51" s="2"/>
      <c r="BX51" s="15">
        <v>2007</v>
      </c>
      <c r="BY51" s="16">
        <v>525.42399999999998</v>
      </c>
      <c r="BZ51" s="16">
        <v>420.07499999999999</v>
      </c>
      <c r="CA51" s="16">
        <v>353.26499999999999</v>
      </c>
      <c r="CB51" s="16">
        <v>299.69200000000001</v>
      </c>
      <c r="CC51" s="16">
        <v>257.65800000000002</v>
      </c>
      <c r="CD51" s="16">
        <v>232.74700000000001</v>
      </c>
      <c r="CE51" s="59">
        <v>217.15023202604524</v>
      </c>
      <c r="CF51" s="59">
        <v>197.77605099888612</v>
      </c>
      <c r="CG51" s="59">
        <v>180.83785623207962</v>
      </c>
      <c r="CH51" s="59">
        <v>168.42465088382062</v>
      </c>
      <c r="CI51" s="59">
        <v>154.91120985916839</v>
      </c>
      <c r="CK51" s="21">
        <v>2007</v>
      </c>
      <c r="CL51" s="24">
        <v>525.42399999999998</v>
      </c>
      <c r="CM51" s="24">
        <v>420.07499999999999</v>
      </c>
      <c r="CN51" s="24">
        <v>353.26499999999999</v>
      </c>
      <c r="CO51" s="24">
        <v>299.69200000000001</v>
      </c>
      <c r="CP51" s="24">
        <v>257.65800000000002</v>
      </c>
      <c r="CQ51" s="24">
        <v>232.74700000000001</v>
      </c>
      <c r="CR51" s="5">
        <v>217.15023202604524</v>
      </c>
      <c r="CS51" s="5">
        <v>197.77605099888612</v>
      </c>
      <c r="CT51" s="5">
        <v>180.83785623207962</v>
      </c>
      <c r="CU51" s="5">
        <v>168.42465088382062</v>
      </c>
      <c r="CV51" s="5">
        <v>154.91120985916839</v>
      </c>
      <c r="CX51" s="11">
        <v>2007</v>
      </c>
      <c r="CY51" s="13">
        <v>5.7870272389536828</v>
      </c>
      <c r="CZ51" s="13">
        <v>7.6496935071118255</v>
      </c>
      <c r="DA51" s="13">
        <v>8.3211356913365329</v>
      </c>
      <c r="DB51" s="13">
        <v>8.5895919811005967</v>
      </c>
      <c r="DC51" s="13">
        <v>9.8841332308719316</v>
      </c>
      <c r="DD51" s="13">
        <v>10.528217334702488</v>
      </c>
      <c r="DE51" s="66">
        <v>10.584590344102335</v>
      </c>
      <c r="DF51" s="66">
        <v>11.516710697587348</v>
      </c>
      <c r="DG51" s="66">
        <v>12.762800906284509</v>
      </c>
      <c r="DH51" s="66">
        <v>14.259576386700159</v>
      </c>
      <c r="DI51" s="66">
        <v>12.538721119076301</v>
      </c>
      <c r="DK51" s="15">
        <v>2007</v>
      </c>
      <c r="DL51" s="16">
        <f t="shared" si="21"/>
        <v>3040.6429999999996</v>
      </c>
      <c r="DM51" s="16">
        <f t="shared" si="22"/>
        <v>3213.4450000000002</v>
      </c>
      <c r="DN51" s="16">
        <f t="shared" si="23"/>
        <v>2939.5660000000003</v>
      </c>
      <c r="DO51" s="16">
        <f t="shared" si="24"/>
        <v>2574.232</v>
      </c>
      <c r="DP51" s="16">
        <f t="shared" si="25"/>
        <v>2546.7260000000001</v>
      </c>
      <c r="DQ51" s="16">
        <f t="shared" si="26"/>
        <v>2450.4110000000001</v>
      </c>
      <c r="DR51" s="16">
        <f t="shared" si="27"/>
        <v>2298.4462491224599</v>
      </c>
      <c r="DS51" s="16">
        <f t="shared" si="28"/>
        <v>2277.7295622654528</v>
      </c>
      <c r="DT51" s="16">
        <f t="shared" si="29"/>
        <v>2307.9975554093335</v>
      </c>
      <c r="DU51" s="16">
        <f t="shared" si="30"/>
        <v>2401.6641746811465</v>
      </c>
      <c r="DV51" s="16">
        <f t="shared" si="31"/>
        <v>1942.3884586428157</v>
      </c>
      <c r="DW51" s="15">
        <f t="shared" si="32"/>
        <v>27993249.000121206</v>
      </c>
      <c r="DX51" s="15">
        <v>91633772</v>
      </c>
      <c r="DY51" s="15">
        <f t="shared" si="33"/>
        <v>119627021.00012121</v>
      </c>
      <c r="EA51" s="21">
        <v>2007</v>
      </c>
      <c r="EB51" s="24">
        <f t="shared" si="34"/>
        <v>3040.6429999999996</v>
      </c>
      <c r="EC51" s="24">
        <f t="shared" si="35"/>
        <v>3213.4450000000002</v>
      </c>
      <c r="ED51" s="24">
        <f t="shared" si="36"/>
        <v>2939.5660000000003</v>
      </c>
      <c r="EE51" s="24">
        <f t="shared" si="37"/>
        <v>2574.232</v>
      </c>
      <c r="EF51" s="24">
        <f t="shared" si="38"/>
        <v>2546.7260000000001</v>
      </c>
      <c r="EG51" s="24">
        <f t="shared" si="39"/>
        <v>2450.4110000000001</v>
      </c>
      <c r="EH51" s="24">
        <f t="shared" si="40"/>
        <v>2298.4462491224599</v>
      </c>
      <c r="EI51" s="24">
        <f t="shared" si="41"/>
        <v>2277.7295622654528</v>
      </c>
      <c r="EJ51" s="24">
        <f t="shared" si="42"/>
        <v>2307.9975554093335</v>
      </c>
      <c r="EK51" s="24">
        <f t="shared" si="43"/>
        <v>2401.6641746811465</v>
      </c>
      <c r="EL51" s="24">
        <f t="shared" si="44"/>
        <v>1942.3884586428157</v>
      </c>
      <c r="EM51" s="21">
        <f t="shared" si="45"/>
        <v>27993249.000121206</v>
      </c>
      <c r="EN51" s="21">
        <v>91633772</v>
      </c>
      <c r="EO51" s="21">
        <f t="shared" si="46"/>
        <v>119627021.00012121</v>
      </c>
      <c r="EQ51" s="11">
        <v>2007</v>
      </c>
      <c r="ER51" s="11">
        <f t="shared" si="47"/>
        <v>3040.6429999999996</v>
      </c>
      <c r="ES51" s="11">
        <f t="shared" si="48"/>
        <v>3213.4450000000002</v>
      </c>
      <c r="ET51" s="11">
        <f t="shared" si="49"/>
        <v>2939.5660000000003</v>
      </c>
      <c r="EU51" s="11">
        <f t="shared" si="50"/>
        <v>2574.232</v>
      </c>
      <c r="EV51" s="11">
        <f t="shared" si="51"/>
        <v>2546.7260000000001</v>
      </c>
      <c r="EW51" s="11">
        <f t="shared" si="52"/>
        <v>2450.4110000000001</v>
      </c>
      <c r="EX51" s="11">
        <f t="shared" si="53"/>
        <v>2298.4462491224599</v>
      </c>
      <c r="EY51" s="11">
        <f t="shared" si="54"/>
        <v>2277.7295622654528</v>
      </c>
      <c r="EZ51" s="11">
        <f t="shared" si="55"/>
        <v>2307.9975554093335</v>
      </c>
      <c r="FA51" s="11">
        <f t="shared" si="56"/>
        <v>2401.6641746811465</v>
      </c>
      <c r="FB51" s="11">
        <f t="shared" si="57"/>
        <v>1942.3884586428157</v>
      </c>
      <c r="FC51" s="11">
        <f t="shared" si="58"/>
        <v>27993249.000121206</v>
      </c>
      <c r="FD51" s="11">
        <v>91633772</v>
      </c>
      <c r="FE51" s="11">
        <f t="shared" si="59"/>
        <v>119627021.00012121</v>
      </c>
    </row>
    <row r="52" spans="1:161" x14ac:dyDescent="0.3">
      <c r="A52" s="15">
        <v>2008</v>
      </c>
      <c r="B52" s="16">
        <v>487.673</v>
      </c>
      <c r="C52" s="16">
        <v>385.637</v>
      </c>
      <c r="D52" s="16">
        <v>353.29899999999998</v>
      </c>
      <c r="E52" s="16">
        <v>305.94</v>
      </c>
      <c r="F52" s="16">
        <v>263.84399999999999</v>
      </c>
      <c r="G52" s="16">
        <v>230.43299999999999</v>
      </c>
      <c r="H52" s="59">
        <v>214.25305803417874</v>
      </c>
      <c r="I52" s="59">
        <v>196.56631672779886</v>
      </c>
      <c r="J52" s="59">
        <v>180.47026070231266</v>
      </c>
      <c r="K52" s="59">
        <v>165.73682575707301</v>
      </c>
      <c r="L52" s="59">
        <v>155.55553877863679</v>
      </c>
      <c r="M52" s="15"/>
      <c r="N52" s="15"/>
      <c r="O52" s="15"/>
      <c r="P52" s="18"/>
      <c r="R52" s="21">
        <v>2008</v>
      </c>
      <c r="S52" s="23">
        <v>0.74349193671769043</v>
      </c>
      <c r="T52" s="23">
        <v>0.82942493468704981</v>
      </c>
      <c r="U52" s="23">
        <v>0.85227168725893965</v>
      </c>
      <c r="V52" s="23">
        <v>0.86883537241703435</v>
      </c>
      <c r="W52" s="23">
        <v>0.88465193787348162</v>
      </c>
      <c r="X52" s="60">
        <v>0.89912594487137254</v>
      </c>
      <c r="Y52" s="60">
        <v>0.90717427393949879</v>
      </c>
      <c r="Z52" s="60">
        <v>0.91447927678127472</v>
      </c>
      <c r="AA52" s="60">
        <v>0.91848398986731317</v>
      </c>
      <c r="AB52" s="60">
        <v>0.92559659273000716</v>
      </c>
      <c r="AC52" s="60">
        <f t="shared" si="64"/>
        <v>0.85889869829150789</v>
      </c>
      <c r="AD52" s="21"/>
      <c r="AE52" s="21"/>
      <c r="AF52" s="21"/>
      <c r="AH52" s="11">
        <v>2008</v>
      </c>
      <c r="AI52" s="13">
        <v>5.8176031890221518</v>
      </c>
      <c r="AJ52" s="13">
        <v>7.0304172058179066</v>
      </c>
      <c r="AK52" s="13">
        <v>8.1933546372902271</v>
      </c>
      <c r="AL52" s="13">
        <v>8.8789239720206581</v>
      </c>
      <c r="AM52" s="13">
        <v>9.1251610800321394</v>
      </c>
      <c r="AN52" s="13">
        <v>10.340932071361307</v>
      </c>
      <c r="AO52" s="66">
        <v>10.990871099924501</v>
      </c>
      <c r="AP52" s="66">
        <v>11.049721374394643</v>
      </c>
      <c r="AQ52" s="66">
        <v>12.022802982522306</v>
      </c>
      <c r="AR52" s="66">
        <v>13.323651590341775</v>
      </c>
      <c r="AS52" s="66">
        <v>14.886201625906827</v>
      </c>
      <c r="AT52" s="66">
        <f t="shared" si="65"/>
        <v>8.1928491950811395</v>
      </c>
      <c r="AU52" s="13"/>
      <c r="AV52" s="13"/>
      <c r="AW52" s="13"/>
      <c r="AY52" s="36">
        <v>2008</v>
      </c>
      <c r="AZ52" s="37">
        <f t="shared" si="14"/>
        <v>2837.0879999999997</v>
      </c>
      <c r="BA52" s="37">
        <f t="shared" si="15"/>
        <v>2711.1889999999999</v>
      </c>
      <c r="BB52" s="37">
        <f t="shared" si="60"/>
        <v>2894.7039999999997</v>
      </c>
      <c r="BC52" s="37">
        <f t="shared" si="61"/>
        <v>2716.4180000000001</v>
      </c>
      <c r="BD52" s="37">
        <f t="shared" si="62"/>
        <v>2407.6189999999997</v>
      </c>
      <c r="BE52" s="37">
        <f t="shared" si="63"/>
        <v>2382.8919999999998</v>
      </c>
      <c r="BF52" s="37">
        <f t="shared" si="66"/>
        <v>2354.8277436183021</v>
      </c>
      <c r="BG52" s="37">
        <f t="shared" si="67"/>
        <v>2172.0030314331866</v>
      </c>
      <c r="BH52" s="37">
        <f t="shared" si="68"/>
        <v>2169.7583886283428</v>
      </c>
      <c r="BI52" s="37">
        <f t="shared" si="69"/>
        <v>2208.2197220764233</v>
      </c>
      <c r="BJ52" s="37">
        <f t="shared" si="70"/>
        <v>2315.6311142853556</v>
      </c>
      <c r="BK52" s="36">
        <f t="shared" si="16"/>
        <v>27170350.000041611</v>
      </c>
      <c r="BL52" s="36">
        <v>92610335</v>
      </c>
      <c r="BM52" s="38">
        <f t="shared" si="17"/>
        <v>119780685.0000416</v>
      </c>
      <c r="BN52" s="38">
        <v>119780685.0000416</v>
      </c>
      <c r="BO52" s="39">
        <f t="shared" si="18"/>
        <v>119780685.0000416</v>
      </c>
      <c r="BP52" s="39">
        <f t="shared" si="19"/>
        <v>119780685.0000416</v>
      </c>
      <c r="BQ52" s="39">
        <f t="shared" si="20"/>
        <v>119780685.0000416</v>
      </c>
      <c r="BR52" s="39"/>
      <c r="BS52" s="39"/>
      <c r="BT52" s="39"/>
      <c r="BU52" s="36"/>
      <c r="BV52" s="39"/>
      <c r="BW52" s="2"/>
      <c r="BX52" s="15">
        <v>2008</v>
      </c>
      <c r="BY52" s="16">
        <v>487.673</v>
      </c>
      <c r="BZ52" s="16">
        <v>385.637</v>
      </c>
      <c r="CA52" s="16">
        <v>353.29899999999998</v>
      </c>
      <c r="CB52" s="16">
        <v>305.94</v>
      </c>
      <c r="CC52" s="16">
        <v>263.84399999999999</v>
      </c>
      <c r="CD52" s="16">
        <v>230.43299999999999</v>
      </c>
      <c r="CE52" s="59">
        <v>214.25305803417874</v>
      </c>
      <c r="CF52" s="59">
        <v>196.56631672779886</v>
      </c>
      <c r="CG52" s="59">
        <v>180.47026070231266</v>
      </c>
      <c r="CH52" s="59">
        <v>165.73682575707301</v>
      </c>
      <c r="CI52" s="59">
        <v>155.55553877863679</v>
      </c>
      <c r="CK52" s="21">
        <v>2008</v>
      </c>
      <c r="CL52" s="24">
        <v>487.673</v>
      </c>
      <c r="CM52" s="24">
        <v>385.637</v>
      </c>
      <c r="CN52" s="24">
        <v>353.29899999999998</v>
      </c>
      <c r="CO52" s="24">
        <v>305.94</v>
      </c>
      <c r="CP52" s="24">
        <v>263.84399999999999</v>
      </c>
      <c r="CQ52" s="24">
        <v>230.43299999999999</v>
      </c>
      <c r="CR52" s="5">
        <v>214.25305803417874</v>
      </c>
      <c r="CS52" s="5">
        <v>196.56631672779886</v>
      </c>
      <c r="CT52" s="5">
        <v>180.47026070231266</v>
      </c>
      <c r="CU52" s="5">
        <v>165.73682575707301</v>
      </c>
      <c r="CV52" s="5">
        <v>155.55553877863679</v>
      </c>
      <c r="CX52" s="11">
        <v>2008</v>
      </c>
      <c r="CY52" s="13">
        <v>5.8176031890221518</v>
      </c>
      <c r="CZ52" s="13">
        <v>7.0304172058179066</v>
      </c>
      <c r="DA52" s="13">
        <v>8.1933546372902271</v>
      </c>
      <c r="DB52" s="13">
        <v>8.8789239720206581</v>
      </c>
      <c r="DC52" s="13">
        <v>9.1251610800321394</v>
      </c>
      <c r="DD52" s="13">
        <v>10.340932071361307</v>
      </c>
      <c r="DE52" s="66">
        <v>10.990871099924501</v>
      </c>
      <c r="DF52" s="66">
        <v>11.049721374394643</v>
      </c>
      <c r="DG52" s="66">
        <v>12.022802982522306</v>
      </c>
      <c r="DH52" s="66">
        <v>13.323651590341775</v>
      </c>
      <c r="DI52" s="66">
        <v>14.886201625906827</v>
      </c>
      <c r="DK52" s="15">
        <v>2008</v>
      </c>
      <c r="DL52" s="16">
        <f t="shared" si="21"/>
        <v>2837.0879999999997</v>
      </c>
      <c r="DM52" s="16">
        <f t="shared" si="22"/>
        <v>2711.1889999999999</v>
      </c>
      <c r="DN52" s="16">
        <f t="shared" si="23"/>
        <v>2894.7039999999997</v>
      </c>
      <c r="DO52" s="16">
        <f t="shared" si="24"/>
        <v>2716.4180000000001</v>
      </c>
      <c r="DP52" s="16">
        <f t="shared" si="25"/>
        <v>2407.6189999999997</v>
      </c>
      <c r="DQ52" s="16">
        <f t="shared" si="26"/>
        <v>2382.8919999999998</v>
      </c>
      <c r="DR52" s="16">
        <f t="shared" si="27"/>
        <v>2354.8277436183021</v>
      </c>
      <c r="DS52" s="16">
        <f t="shared" si="28"/>
        <v>2172.0030314331866</v>
      </c>
      <c r="DT52" s="16">
        <f t="shared" si="29"/>
        <v>2169.7583886283428</v>
      </c>
      <c r="DU52" s="16">
        <f t="shared" si="30"/>
        <v>2208.2197220764233</v>
      </c>
      <c r="DV52" s="16">
        <f t="shared" si="31"/>
        <v>2315.6311142853556</v>
      </c>
      <c r="DW52" s="15">
        <f t="shared" si="32"/>
        <v>27170350.000041611</v>
      </c>
      <c r="DX52" s="15">
        <v>92610335</v>
      </c>
      <c r="DY52" s="15">
        <f t="shared" si="33"/>
        <v>119780685.0000416</v>
      </c>
      <c r="EA52" s="21">
        <v>2008</v>
      </c>
      <c r="EB52" s="24">
        <f t="shared" si="34"/>
        <v>2837.0879999999997</v>
      </c>
      <c r="EC52" s="24">
        <f t="shared" si="35"/>
        <v>2711.1889999999999</v>
      </c>
      <c r="ED52" s="24">
        <f t="shared" si="36"/>
        <v>2894.7039999999997</v>
      </c>
      <c r="EE52" s="24">
        <f t="shared" si="37"/>
        <v>2716.4180000000001</v>
      </c>
      <c r="EF52" s="24">
        <f t="shared" si="38"/>
        <v>2407.6189999999997</v>
      </c>
      <c r="EG52" s="24">
        <f t="shared" si="39"/>
        <v>2382.8919999999998</v>
      </c>
      <c r="EH52" s="24">
        <f t="shared" si="40"/>
        <v>2354.8277436183021</v>
      </c>
      <c r="EI52" s="24">
        <f t="shared" si="41"/>
        <v>2172.0030314331866</v>
      </c>
      <c r="EJ52" s="24">
        <f t="shared" si="42"/>
        <v>2169.7583886283428</v>
      </c>
      <c r="EK52" s="24">
        <f t="shared" si="43"/>
        <v>2208.2197220764233</v>
      </c>
      <c r="EL52" s="24">
        <f t="shared" si="44"/>
        <v>2315.6311142853556</v>
      </c>
      <c r="EM52" s="21">
        <f t="shared" si="45"/>
        <v>27170350.000041611</v>
      </c>
      <c r="EN52" s="21">
        <v>92610335</v>
      </c>
      <c r="EO52" s="21">
        <f t="shared" si="46"/>
        <v>119780685.0000416</v>
      </c>
      <c r="EQ52" s="11">
        <v>2008</v>
      </c>
      <c r="ER52" s="11">
        <f t="shared" si="47"/>
        <v>2837.0879999999997</v>
      </c>
      <c r="ES52" s="11">
        <f t="shared" si="48"/>
        <v>2711.1889999999999</v>
      </c>
      <c r="ET52" s="11">
        <f t="shared" si="49"/>
        <v>2894.7039999999997</v>
      </c>
      <c r="EU52" s="11">
        <f t="shared" si="50"/>
        <v>2716.4180000000001</v>
      </c>
      <c r="EV52" s="11">
        <f t="shared" si="51"/>
        <v>2407.6189999999997</v>
      </c>
      <c r="EW52" s="11">
        <f t="shared" si="52"/>
        <v>2382.8919999999998</v>
      </c>
      <c r="EX52" s="11">
        <f t="shared" si="53"/>
        <v>2354.8277436183021</v>
      </c>
      <c r="EY52" s="11">
        <f t="shared" si="54"/>
        <v>2172.0030314331866</v>
      </c>
      <c r="EZ52" s="11">
        <f t="shared" si="55"/>
        <v>2169.7583886283428</v>
      </c>
      <c r="FA52" s="11">
        <f t="shared" si="56"/>
        <v>2208.2197220764233</v>
      </c>
      <c r="FB52" s="11">
        <f t="shared" si="57"/>
        <v>2315.6311142853556</v>
      </c>
      <c r="FC52" s="11">
        <f t="shared" si="58"/>
        <v>27170350.000041611</v>
      </c>
      <c r="FD52" s="11">
        <v>92610335</v>
      </c>
      <c r="FE52" s="11">
        <f t="shared" si="59"/>
        <v>119780685.0000416</v>
      </c>
    </row>
    <row r="53" spans="1:161" x14ac:dyDescent="0.3">
      <c r="A53" s="15">
        <v>2009</v>
      </c>
      <c r="B53" s="16">
        <v>406.32100000000003</v>
      </c>
      <c r="C53" s="16">
        <v>351.95100000000002</v>
      </c>
      <c r="D53" s="16">
        <v>315.786</v>
      </c>
      <c r="E53" s="16">
        <v>298.88799999999998</v>
      </c>
      <c r="F53" s="16">
        <v>263.65499999999997</v>
      </c>
      <c r="G53" s="16">
        <v>230.559</v>
      </c>
      <c r="H53" s="59">
        <v>207.59689790637762</v>
      </c>
      <c r="I53" s="59">
        <v>189.68025695332977</v>
      </c>
      <c r="J53" s="59">
        <v>175.56497039763056</v>
      </c>
      <c r="K53" s="59">
        <v>162.4744050112262</v>
      </c>
      <c r="L53" s="59">
        <v>149.85746973143586</v>
      </c>
      <c r="M53" s="15"/>
      <c r="N53" s="15"/>
      <c r="O53" s="15"/>
      <c r="P53" s="18"/>
      <c r="R53" s="21">
        <v>2009</v>
      </c>
      <c r="S53" s="23">
        <v>0.73050509872112879</v>
      </c>
      <c r="T53" s="23">
        <v>0.80672670732711393</v>
      </c>
      <c r="U53" s="23">
        <v>0.83820026230561284</v>
      </c>
      <c r="V53" s="23">
        <v>0.85749559082892413</v>
      </c>
      <c r="W53" s="23">
        <v>0.87263130044804149</v>
      </c>
      <c r="X53" s="60">
        <v>0.88563608287091522</v>
      </c>
      <c r="Y53" s="60">
        <v>0.89998659822692517</v>
      </c>
      <c r="Z53" s="60">
        <v>0.90796625927719243</v>
      </c>
      <c r="AA53" s="60">
        <v>0.91520893613038712</v>
      </c>
      <c r="AB53" s="60">
        <v>0.91917948116646342</v>
      </c>
      <c r="AC53" s="60">
        <f t="shared" si="64"/>
        <v>0.84827961343421543</v>
      </c>
      <c r="AD53" s="21"/>
      <c r="AE53" s="21"/>
      <c r="AF53" s="21"/>
      <c r="AH53" s="11">
        <v>2009</v>
      </c>
      <c r="AI53" s="13">
        <v>5.8868554664907791</v>
      </c>
      <c r="AJ53" s="13">
        <v>6.7254106395492554</v>
      </c>
      <c r="AK53" s="13">
        <v>7.3232473890546128</v>
      </c>
      <c r="AL53" s="13">
        <v>8.4024149514199298</v>
      </c>
      <c r="AM53" s="13">
        <v>9.0618194231097462</v>
      </c>
      <c r="AN53" s="13">
        <v>9.1275595400743406</v>
      </c>
      <c r="AO53" s="66">
        <v>10.214083052579852</v>
      </c>
      <c r="AP53" s="66">
        <v>10.856049479885048</v>
      </c>
      <c r="AQ53" s="66">
        <v>10.914177856220665</v>
      </c>
      <c r="AR53" s="66">
        <v>11.875322972905055</v>
      </c>
      <c r="AS53" s="66">
        <v>13.160214472763037</v>
      </c>
      <c r="AT53" s="66">
        <f t="shared" si="65"/>
        <v>7.7254054343931218</v>
      </c>
      <c r="AU53" s="13"/>
      <c r="AV53" s="13"/>
      <c r="AW53" s="13"/>
      <c r="AY53" s="36">
        <v>2009</v>
      </c>
      <c r="AZ53" s="37">
        <f t="shared" si="14"/>
        <v>2391.953</v>
      </c>
      <c r="BA53" s="37">
        <f t="shared" si="15"/>
        <v>2367.0150000000003</v>
      </c>
      <c r="BB53" s="37">
        <f t="shared" si="60"/>
        <v>2312.5790000000002</v>
      </c>
      <c r="BC53" s="37">
        <f t="shared" si="61"/>
        <v>2511.3809999999999</v>
      </c>
      <c r="BD53" s="37">
        <f t="shared" si="62"/>
        <v>2389.194</v>
      </c>
      <c r="BE53" s="37">
        <f t="shared" si="63"/>
        <v>2104.4409999999998</v>
      </c>
      <c r="BF53" s="37">
        <f t="shared" si="66"/>
        <v>2120.4119566736813</v>
      </c>
      <c r="BG53" s="37">
        <f t="shared" si="67"/>
        <v>2059.1782548426581</v>
      </c>
      <c r="BH53" s="37">
        <f t="shared" si="68"/>
        <v>1916.1473122418558</v>
      </c>
      <c r="BI53" s="37">
        <f t="shared" si="69"/>
        <v>1929.4360343388946</v>
      </c>
      <c r="BJ53" s="37">
        <f t="shared" si="70"/>
        <v>1972.1564420112909</v>
      </c>
      <c r="BK53" s="36">
        <f t="shared" si="16"/>
        <v>24073893.00010838</v>
      </c>
      <c r="BL53" s="36">
        <v>89260084</v>
      </c>
      <c r="BM53" s="38">
        <f t="shared" si="17"/>
        <v>113333977.00010838</v>
      </c>
      <c r="BN53" s="38">
        <v>113333977.00010838</v>
      </c>
      <c r="BO53" s="39">
        <f t="shared" si="18"/>
        <v>113333977.00010838</v>
      </c>
      <c r="BP53" s="39">
        <f t="shared" si="19"/>
        <v>113333977.00010838</v>
      </c>
      <c r="BQ53" s="39">
        <f t="shared" si="20"/>
        <v>113333977.00010838</v>
      </c>
      <c r="BR53" s="39"/>
      <c r="BS53" s="39"/>
      <c r="BT53" s="39"/>
      <c r="BU53" s="36"/>
      <c r="BV53" s="39"/>
      <c r="BW53" s="2"/>
      <c r="BX53" s="15">
        <v>2009</v>
      </c>
      <c r="BY53" s="16">
        <v>406.32100000000003</v>
      </c>
      <c r="BZ53" s="16">
        <v>351.95100000000002</v>
      </c>
      <c r="CA53" s="16">
        <v>315.786</v>
      </c>
      <c r="CB53" s="16">
        <v>298.88799999999998</v>
      </c>
      <c r="CC53" s="16">
        <v>263.65499999999997</v>
      </c>
      <c r="CD53" s="16">
        <v>230.559</v>
      </c>
      <c r="CE53" s="59">
        <v>207.59689790637762</v>
      </c>
      <c r="CF53" s="59">
        <v>189.68025695332977</v>
      </c>
      <c r="CG53" s="59">
        <v>175.56497039763056</v>
      </c>
      <c r="CH53" s="59">
        <v>162.4744050112262</v>
      </c>
      <c r="CI53" s="59">
        <v>149.85746973143586</v>
      </c>
      <c r="CK53" s="21">
        <v>2009</v>
      </c>
      <c r="CL53" s="24">
        <v>406.32100000000003</v>
      </c>
      <c r="CM53" s="24">
        <v>351.95100000000002</v>
      </c>
      <c r="CN53" s="24">
        <v>315.786</v>
      </c>
      <c r="CO53" s="24">
        <v>298.88799999999998</v>
      </c>
      <c r="CP53" s="24">
        <v>263.65499999999997</v>
      </c>
      <c r="CQ53" s="24">
        <v>230.559</v>
      </c>
      <c r="CR53" s="5">
        <v>207.59689790637762</v>
      </c>
      <c r="CS53" s="5">
        <v>189.68025695332977</v>
      </c>
      <c r="CT53" s="5">
        <v>175.56497039763056</v>
      </c>
      <c r="CU53" s="5">
        <v>162.4744050112262</v>
      </c>
      <c r="CV53" s="5">
        <v>149.85746973143586</v>
      </c>
      <c r="CX53" s="11">
        <v>2009</v>
      </c>
      <c r="CY53" s="13">
        <v>5.8868554664907791</v>
      </c>
      <c r="CZ53" s="13">
        <v>6.7254106395492554</v>
      </c>
      <c r="DA53" s="13">
        <v>7.3232473890546128</v>
      </c>
      <c r="DB53" s="13">
        <v>8.4024149514199298</v>
      </c>
      <c r="DC53" s="13">
        <v>9.0618194231097462</v>
      </c>
      <c r="DD53" s="13">
        <v>9.1275595400743406</v>
      </c>
      <c r="DE53" s="66">
        <v>10.214083052579852</v>
      </c>
      <c r="DF53" s="66">
        <v>10.856049479885048</v>
      </c>
      <c r="DG53" s="66">
        <v>10.914177856220665</v>
      </c>
      <c r="DH53" s="66">
        <v>11.875322972905055</v>
      </c>
      <c r="DI53" s="66">
        <v>13.160214472763037</v>
      </c>
      <c r="DK53" s="15">
        <v>2009</v>
      </c>
      <c r="DL53" s="16">
        <f t="shared" si="21"/>
        <v>2391.953</v>
      </c>
      <c r="DM53" s="16">
        <f t="shared" si="22"/>
        <v>2367.0150000000003</v>
      </c>
      <c r="DN53" s="16">
        <f t="shared" si="23"/>
        <v>2312.5790000000002</v>
      </c>
      <c r="DO53" s="16">
        <f t="shared" si="24"/>
        <v>2511.3809999999999</v>
      </c>
      <c r="DP53" s="16">
        <f t="shared" si="25"/>
        <v>2389.194</v>
      </c>
      <c r="DQ53" s="16">
        <f t="shared" si="26"/>
        <v>2104.4409999999998</v>
      </c>
      <c r="DR53" s="16">
        <f t="shared" si="27"/>
        <v>2120.4119566736813</v>
      </c>
      <c r="DS53" s="16">
        <f t="shared" si="28"/>
        <v>2059.1782548426581</v>
      </c>
      <c r="DT53" s="16">
        <f t="shared" si="29"/>
        <v>1916.1473122418558</v>
      </c>
      <c r="DU53" s="16">
        <f t="shared" si="30"/>
        <v>1929.4360343388946</v>
      </c>
      <c r="DV53" s="16">
        <f t="shared" si="31"/>
        <v>1972.1564420112909</v>
      </c>
      <c r="DW53" s="15">
        <f t="shared" si="32"/>
        <v>24073893.00010838</v>
      </c>
      <c r="DX53" s="15">
        <v>89260084</v>
      </c>
      <c r="DY53" s="15">
        <f t="shared" si="33"/>
        <v>113333977.00010838</v>
      </c>
      <c r="EA53" s="21">
        <v>2009</v>
      </c>
      <c r="EB53" s="24">
        <f t="shared" si="34"/>
        <v>2391.953</v>
      </c>
      <c r="EC53" s="24">
        <f t="shared" si="35"/>
        <v>2367.0150000000003</v>
      </c>
      <c r="ED53" s="24">
        <f t="shared" si="36"/>
        <v>2312.5790000000002</v>
      </c>
      <c r="EE53" s="24">
        <f t="shared" si="37"/>
        <v>2511.3809999999999</v>
      </c>
      <c r="EF53" s="24">
        <f t="shared" si="38"/>
        <v>2389.194</v>
      </c>
      <c r="EG53" s="24">
        <f t="shared" si="39"/>
        <v>2104.4409999999998</v>
      </c>
      <c r="EH53" s="24">
        <f t="shared" si="40"/>
        <v>2120.4119566736813</v>
      </c>
      <c r="EI53" s="24">
        <f t="shared" si="41"/>
        <v>2059.1782548426581</v>
      </c>
      <c r="EJ53" s="24">
        <f t="shared" si="42"/>
        <v>1916.1473122418558</v>
      </c>
      <c r="EK53" s="24">
        <f t="shared" si="43"/>
        <v>1929.4360343388946</v>
      </c>
      <c r="EL53" s="24">
        <f t="shared" si="44"/>
        <v>1972.1564420112909</v>
      </c>
      <c r="EM53" s="21">
        <f t="shared" si="45"/>
        <v>24073893.00010838</v>
      </c>
      <c r="EN53" s="21">
        <v>89260084</v>
      </c>
      <c r="EO53" s="21">
        <f t="shared" si="46"/>
        <v>113333977.00010838</v>
      </c>
      <c r="EQ53" s="11">
        <v>2009</v>
      </c>
      <c r="ER53" s="11">
        <f t="shared" si="47"/>
        <v>2391.953</v>
      </c>
      <c r="ES53" s="11">
        <f t="shared" si="48"/>
        <v>2367.0150000000003</v>
      </c>
      <c r="ET53" s="11">
        <f t="shared" si="49"/>
        <v>2312.5790000000002</v>
      </c>
      <c r="EU53" s="11">
        <f t="shared" si="50"/>
        <v>2511.3809999999999</v>
      </c>
      <c r="EV53" s="11">
        <f t="shared" si="51"/>
        <v>2389.194</v>
      </c>
      <c r="EW53" s="11">
        <f t="shared" si="52"/>
        <v>2104.4409999999998</v>
      </c>
      <c r="EX53" s="11">
        <f t="shared" si="53"/>
        <v>2120.4119566736813</v>
      </c>
      <c r="EY53" s="11">
        <f t="shared" si="54"/>
        <v>2059.1782548426581</v>
      </c>
      <c r="EZ53" s="11">
        <f t="shared" si="55"/>
        <v>1916.1473122418558</v>
      </c>
      <c r="FA53" s="11">
        <f t="shared" si="56"/>
        <v>1929.4360343388946</v>
      </c>
      <c r="FB53" s="11">
        <f t="shared" si="57"/>
        <v>1972.1564420112909</v>
      </c>
      <c r="FC53" s="11">
        <f t="shared" si="58"/>
        <v>24073893.00010838</v>
      </c>
      <c r="FD53" s="11">
        <v>89260084</v>
      </c>
      <c r="FE53" s="11">
        <f t="shared" si="59"/>
        <v>113333977.00010838</v>
      </c>
    </row>
    <row r="54" spans="1:161" x14ac:dyDescent="0.3">
      <c r="A54" s="15">
        <v>2010</v>
      </c>
      <c r="B54" s="16">
        <v>385.358</v>
      </c>
      <c r="C54" s="16">
        <v>301.86799999999999</v>
      </c>
      <c r="D54" s="16">
        <v>298.72800000000001</v>
      </c>
      <c r="E54" s="16">
        <v>274.98</v>
      </c>
      <c r="F54" s="16">
        <v>265.11</v>
      </c>
      <c r="G54" s="16">
        <v>236.048</v>
      </c>
      <c r="H54" s="59">
        <v>209.62296127371866</v>
      </c>
      <c r="I54" s="59">
        <v>187.8442341138261</v>
      </c>
      <c r="J54" s="59">
        <v>173.8450139729087</v>
      </c>
      <c r="K54" s="59">
        <v>162.04693015513698</v>
      </c>
      <c r="L54" s="59">
        <v>150.9208604844095</v>
      </c>
      <c r="M54" s="15"/>
      <c r="N54" s="15"/>
      <c r="O54" s="15"/>
      <c r="P54" s="18"/>
      <c r="R54" s="21">
        <v>2010</v>
      </c>
      <c r="S54" s="23">
        <v>0.7614752143320922</v>
      </c>
      <c r="T54" s="23">
        <v>0.8318135561447203</v>
      </c>
      <c r="U54" s="23">
        <v>0.85693504982180524</v>
      </c>
      <c r="V54" s="23">
        <v>0.87617215495454714</v>
      </c>
      <c r="W54" s="23">
        <v>0.88665440927269035</v>
      </c>
      <c r="X54" s="60">
        <v>0.89623776924750409</v>
      </c>
      <c r="Y54" s="60">
        <v>0.90683224999037892</v>
      </c>
      <c r="Z54" s="60">
        <v>0.91852304601032331</v>
      </c>
      <c r="AA54" s="60">
        <v>0.9250237595619033</v>
      </c>
      <c r="AB54" s="60">
        <v>0.93092408130147153</v>
      </c>
      <c r="AC54" s="60">
        <f t="shared" si="64"/>
        <v>0.8685726848155404</v>
      </c>
      <c r="AD54" s="21"/>
      <c r="AE54" s="21"/>
      <c r="AF54" s="21"/>
      <c r="AH54" s="11">
        <v>2010</v>
      </c>
      <c r="AI54" s="13">
        <v>6.2461036231244709</v>
      </c>
      <c r="AJ54" s="13">
        <v>6.990880119787457</v>
      </c>
      <c r="AK54" s="13">
        <v>7.2161799362630887</v>
      </c>
      <c r="AL54" s="13">
        <v>7.621743399519965</v>
      </c>
      <c r="AM54" s="13">
        <v>8.6955754215231416</v>
      </c>
      <c r="AN54" s="13">
        <v>9.3176133667728589</v>
      </c>
      <c r="AO54" s="66">
        <v>9.3341046666721859</v>
      </c>
      <c r="AP54" s="66">
        <v>10.44521483188116</v>
      </c>
      <c r="AQ54" s="66">
        <v>11.101708147388745</v>
      </c>
      <c r="AR54" s="66">
        <v>11.161151895352063</v>
      </c>
      <c r="AS54" s="66">
        <v>12.144046510238342</v>
      </c>
      <c r="AT54" s="66">
        <f t="shared" si="65"/>
        <v>7.9717202232995152</v>
      </c>
      <c r="AU54" s="13"/>
      <c r="AV54" s="13"/>
      <c r="AW54" s="13"/>
      <c r="AY54" s="36">
        <v>2010</v>
      </c>
      <c r="AZ54" s="37">
        <f t="shared" si="14"/>
        <v>2406.9859999999999</v>
      </c>
      <c r="BA54" s="37">
        <f t="shared" si="15"/>
        <v>2110.3229999999999</v>
      </c>
      <c r="BB54" s="37">
        <f t="shared" si="60"/>
        <v>2155.6750000000002</v>
      </c>
      <c r="BC54" s="37">
        <f t="shared" si="61"/>
        <v>2095.8270000000002</v>
      </c>
      <c r="BD54" s="37">
        <f t="shared" si="62"/>
        <v>2305.2840000000001</v>
      </c>
      <c r="BE54" s="37">
        <f t="shared" si="63"/>
        <v>2199.404</v>
      </c>
      <c r="BF54" s="37">
        <f t="shared" si="66"/>
        <v>1956.6426610666601</v>
      </c>
      <c r="BG54" s="37">
        <f t="shared" si="67"/>
        <v>1962.0733802490934</v>
      </c>
      <c r="BH54" s="37">
        <f t="shared" si="68"/>
        <v>1929.9766080059508</v>
      </c>
      <c r="BI54" s="37">
        <f t="shared" si="69"/>
        <v>1808.6304016369904</v>
      </c>
      <c r="BJ54" s="37">
        <f t="shared" si="70"/>
        <v>1832.7899490878608</v>
      </c>
      <c r="BK54" s="36">
        <f t="shared" si="16"/>
        <v>22763612.000046559</v>
      </c>
      <c r="BL54" s="36">
        <v>88029014</v>
      </c>
      <c r="BM54" s="38">
        <f t="shared" si="17"/>
        <v>110792626.00004655</v>
      </c>
      <c r="BN54" s="38">
        <v>110792626.00004655</v>
      </c>
      <c r="BO54" s="39">
        <f t="shared" si="18"/>
        <v>110792626.00004655</v>
      </c>
      <c r="BP54" s="39">
        <f t="shared" si="19"/>
        <v>110792626.00004655</v>
      </c>
      <c r="BQ54" s="39">
        <f t="shared" si="20"/>
        <v>110792626.00004655</v>
      </c>
      <c r="BR54" s="39"/>
      <c r="BS54" s="39"/>
      <c r="BT54" s="39"/>
      <c r="BU54" s="36"/>
      <c r="BV54" s="39"/>
      <c r="BW54" s="2"/>
      <c r="BX54" s="15">
        <v>2010</v>
      </c>
      <c r="BY54" s="16">
        <v>385.358</v>
      </c>
      <c r="BZ54" s="16">
        <v>301.86799999999999</v>
      </c>
      <c r="CA54" s="16">
        <v>298.72800000000001</v>
      </c>
      <c r="CB54" s="16">
        <v>274.98</v>
      </c>
      <c r="CC54" s="16">
        <v>265.11</v>
      </c>
      <c r="CD54" s="16">
        <v>236.048</v>
      </c>
      <c r="CE54" s="59">
        <v>209.62296127371866</v>
      </c>
      <c r="CF54" s="59">
        <v>187.8442341138261</v>
      </c>
      <c r="CG54" s="59">
        <v>173.8450139729087</v>
      </c>
      <c r="CH54" s="59">
        <v>162.04693015513698</v>
      </c>
      <c r="CI54" s="59">
        <v>150.9208604844095</v>
      </c>
      <c r="CK54" s="21">
        <v>2010</v>
      </c>
      <c r="CL54" s="24">
        <v>385.358</v>
      </c>
      <c r="CM54" s="24">
        <v>301.86799999999999</v>
      </c>
      <c r="CN54" s="24">
        <v>298.72800000000001</v>
      </c>
      <c r="CO54" s="24">
        <v>274.98</v>
      </c>
      <c r="CP54" s="24">
        <v>265.11</v>
      </c>
      <c r="CQ54" s="24">
        <v>236.048</v>
      </c>
      <c r="CR54" s="5">
        <v>209.62296127371866</v>
      </c>
      <c r="CS54" s="5">
        <v>187.8442341138261</v>
      </c>
      <c r="CT54" s="5">
        <v>173.8450139729087</v>
      </c>
      <c r="CU54" s="5">
        <v>162.04693015513698</v>
      </c>
      <c r="CV54" s="5">
        <v>150.9208604844095</v>
      </c>
      <c r="CX54" s="11">
        <v>2010</v>
      </c>
      <c r="CY54" s="13">
        <v>6.2461036231244709</v>
      </c>
      <c r="CZ54" s="13">
        <v>6.990880119787457</v>
      </c>
      <c r="DA54" s="13">
        <v>7.2161799362630887</v>
      </c>
      <c r="DB54" s="13">
        <v>7.621743399519965</v>
      </c>
      <c r="DC54" s="13">
        <v>8.6955754215231416</v>
      </c>
      <c r="DD54" s="13">
        <v>9.3176133667728589</v>
      </c>
      <c r="DE54" s="66">
        <v>9.3341046666721859</v>
      </c>
      <c r="DF54" s="66">
        <v>10.44521483188116</v>
      </c>
      <c r="DG54" s="66">
        <v>11.101708147388745</v>
      </c>
      <c r="DH54" s="66">
        <v>11.161151895352063</v>
      </c>
      <c r="DI54" s="66">
        <v>12.144046510238342</v>
      </c>
      <c r="DK54" s="15">
        <v>2010</v>
      </c>
      <c r="DL54" s="16">
        <f t="shared" si="21"/>
        <v>2406.9859999999999</v>
      </c>
      <c r="DM54" s="16">
        <f t="shared" si="22"/>
        <v>2110.3229999999999</v>
      </c>
      <c r="DN54" s="16">
        <f t="shared" si="23"/>
        <v>2155.6750000000002</v>
      </c>
      <c r="DO54" s="16">
        <f t="shared" si="24"/>
        <v>2095.8270000000002</v>
      </c>
      <c r="DP54" s="16">
        <f t="shared" si="25"/>
        <v>2305.2840000000001</v>
      </c>
      <c r="DQ54" s="16">
        <f t="shared" si="26"/>
        <v>2199.404</v>
      </c>
      <c r="DR54" s="16">
        <f t="shared" si="27"/>
        <v>1956.6426610666601</v>
      </c>
      <c r="DS54" s="16">
        <f t="shared" si="28"/>
        <v>1962.0733802490934</v>
      </c>
      <c r="DT54" s="16">
        <f t="shared" si="29"/>
        <v>1929.9766080059508</v>
      </c>
      <c r="DU54" s="16">
        <f t="shared" si="30"/>
        <v>1808.6304016369904</v>
      </c>
      <c r="DV54" s="16">
        <f t="shared" si="31"/>
        <v>1832.7899490878608</v>
      </c>
      <c r="DW54" s="15">
        <f t="shared" si="32"/>
        <v>22763612.000046559</v>
      </c>
      <c r="DX54" s="15">
        <v>88029014</v>
      </c>
      <c r="DY54" s="15">
        <f t="shared" si="33"/>
        <v>110792626.00004655</v>
      </c>
      <c r="EA54" s="21">
        <v>2010</v>
      </c>
      <c r="EB54" s="24">
        <f t="shared" si="34"/>
        <v>2406.9859999999999</v>
      </c>
      <c r="EC54" s="24">
        <f t="shared" si="35"/>
        <v>2110.3229999999999</v>
      </c>
      <c r="ED54" s="24">
        <f t="shared" si="36"/>
        <v>2155.6750000000002</v>
      </c>
      <c r="EE54" s="24">
        <f t="shared" si="37"/>
        <v>2095.8270000000002</v>
      </c>
      <c r="EF54" s="24">
        <f t="shared" si="38"/>
        <v>2305.2840000000001</v>
      </c>
      <c r="EG54" s="24">
        <f t="shared" si="39"/>
        <v>2199.404</v>
      </c>
      <c r="EH54" s="24">
        <f t="shared" si="40"/>
        <v>1956.6426610666601</v>
      </c>
      <c r="EI54" s="24">
        <f t="shared" si="41"/>
        <v>1962.0733802490934</v>
      </c>
      <c r="EJ54" s="24">
        <f t="shared" si="42"/>
        <v>1929.9766080059508</v>
      </c>
      <c r="EK54" s="24">
        <f t="shared" si="43"/>
        <v>1808.6304016369904</v>
      </c>
      <c r="EL54" s="24">
        <f t="shared" si="44"/>
        <v>1832.7899490878608</v>
      </c>
      <c r="EM54" s="21">
        <f t="shared" si="45"/>
        <v>22763612.000046559</v>
      </c>
      <c r="EN54" s="21">
        <v>88029014</v>
      </c>
      <c r="EO54" s="21">
        <f t="shared" si="46"/>
        <v>110792626.00004655</v>
      </c>
      <c r="EQ54" s="11">
        <v>2010</v>
      </c>
      <c r="ER54" s="11">
        <f t="shared" si="47"/>
        <v>2406.9859999999999</v>
      </c>
      <c r="ES54" s="11">
        <f t="shared" si="48"/>
        <v>2110.3229999999999</v>
      </c>
      <c r="ET54" s="11">
        <f t="shared" si="49"/>
        <v>2155.6750000000002</v>
      </c>
      <c r="EU54" s="11">
        <f t="shared" si="50"/>
        <v>2095.8270000000002</v>
      </c>
      <c r="EV54" s="11">
        <f t="shared" si="51"/>
        <v>2305.2840000000001</v>
      </c>
      <c r="EW54" s="11">
        <f t="shared" si="52"/>
        <v>2199.404</v>
      </c>
      <c r="EX54" s="11">
        <f t="shared" si="53"/>
        <v>1956.6426610666601</v>
      </c>
      <c r="EY54" s="11">
        <f t="shared" si="54"/>
        <v>1962.0733802490934</v>
      </c>
      <c r="EZ54" s="11">
        <f t="shared" si="55"/>
        <v>1929.9766080059508</v>
      </c>
      <c r="FA54" s="11">
        <f t="shared" si="56"/>
        <v>1808.6304016369904</v>
      </c>
      <c r="FB54" s="11">
        <f t="shared" si="57"/>
        <v>1832.7899490878608</v>
      </c>
      <c r="FC54" s="11">
        <f t="shared" si="58"/>
        <v>22763612.000046559</v>
      </c>
      <c r="FD54" s="11">
        <v>88029014</v>
      </c>
      <c r="FE54" s="11">
        <f t="shared" si="59"/>
        <v>110792626.00004655</v>
      </c>
    </row>
    <row r="55" spans="1:161" x14ac:dyDescent="0.3">
      <c r="A55" s="15">
        <v>2011</v>
      </c>
      <c r="B55" s="16">
        <v>398.36399999999998</v>
      </c>
      <c r="C55" s="16">
        <v>286.50799999999998</v>
      </c>
      <c r="D55" s="16">
        <v>260.02600000000001</v>
      </c>
      <c r="E55" s="16">
        <v>263.00099999999998</v>
      </c>
      <c r="F55" s="16">
        <v>245.98400000000001</v>
      </c>
      <c r="G55" s="16">
        <v>239.28399999999999</v>
      </c>
      <c r="H55" s="59">
        <v>212.19175291571645</v>
      </c>
      <c r="I55" s="59">
        <v>192.02076071018044</v>
      </c>
      <c r="J55" s="59">
        <v>173.90004534616568</v>
      </c>
      <c r="K55" s="59">
        <v>162.80811791115701</v>
      </c>
      <c r="L55" s="59">
        <v>152.72732311678038</v>
      </c>
      <c r="M55" s="15"/>
      <c r="N55" s="15"/>
      <c r="O55" s="15"/>
      <c r="P55" s="18"/>
      <c r="R55" s="21">
        <v>2011</v>
      </c>
      <c r="S55" s="23">
        <v>0.76055467910145613</v>
      </c>
      <c r="T55" s="23">
        <v>0.84351180266588721</v>
      </c>
      <c r="U55" s="23">
        <v>0.86412979418329205</v>
      </c>
      <c r="V55" s="23">
        <v>0.8801466762065826</v>
      </c>
      <c r="W55" s="23">
        <v>0.8906069774828238</v>
      </c>
      <c r="X55" s="60">
        <v>0.89699170066065292</v>
      </c>
      <c r="Y55" s="60">
        <v>0.90570104353520098</v>
      </c>
      <c r="Z55" s="60">
        <v>0.91532929141590169</v>
      </c>
      <c r="AA55" s="60">
        <v>0.92595386894212328</v>
      </c>
      <c r="AB55" s="60">
        <v>0.93186170746626595</v>
      </c>
      <c r="AC55" s="60">
        <f t="shared" si="64"/>
        <v>0.87304399354837858</v>
      </c>
      <c r="AD55" s="21"/>
      <c r="AE55" s="21"/>
      <c r="AF55" s="21"/>
      <c r="AH55" s="11">
        <v>2011</v>
      </c>
      <c r="AI55" s="13">
        <v>5.8203627837856837</v>
      </c>
      <c r="AJ55" s="13">
        <v>7.5202228210032533</v>
      </c>
      <c r="AK55" s="13">
        <v>7.6512464138201564</v>
      </c>
      <c r="AL55" s="13">
        <v>7.8400614446332906</v>
      </c>
      <c r="AM55" s="13">
        <v>8.0869284181084957</v>
      </c>
      <c r="AN55" s="13">
        <v>9.3444442587051366</v>
      </c>
      <c r="AO55" s="66">
        <v>9.7841255890751828</v>
      </c>
      <c r="AP55" s="66">
        <v>9.8014425717606315</v>
      </c>
      <c r="AQ55" s="66">
        <v>10.968183557008008</v>
      </c>
      <c r="AR55" s="66">
        <v>11.657546035839777</v>
      </c>
      <c r="AS55" s="66">
        <v>11.719966000337603</v>
      </c>
      <c r="AT55" s="66">
        <f t="shared" si="65"/>
        <v>7.8193304377280102</v>
      </c>
      <c r="AU55" s="13"/>
      <c r="AV55" s="13"/>
      <c r="AW55" s="13"/>
      <c r="AY55" s="36">
        <v>2011</v>
      </c>
      <c r="AZ55" s="37">
        <f t="shared" si="14"/>
        <v>2318.623</v>
      </c>
      <c r="BA55" s="37">
        <f t="shared" si="15"/>
        <v>2154.6039999999998</v>
      </c>
      <c r="BB55" s="37">
        <f t="shared" si="60"/>
        <v>1989.5230000000001</v>
      </c>
      <c r="BC55" s="37">
        <f t="shared" si="61"/>
        <v>2061.944</v>
      </c>
      <c r="BD55" s="37">
        <f t="shared" si="62"/>
        <v>1989.2550000000003</v>
      </c>
      <c r="BE55" s="37">
        <f t="shared" si="63"/>
        <v>2235.9759999999997</v>
      </c>
      <c r="BF55" s="37">
        <f t="shared" si="66"/>
        <v>2076.1107594933796</v>
      </c>
      <c r="BG55" s="37">
        <f t="shared" si="67"/>
        <v>1882.0804586866238</v>
      </c>
      <c r="BH55" s="37">
        <f t="shared" si="68"/>
        <v>1907.3676179287613</v>
      </c>
      <c r="BI55" s="37">
        <f t="shared" si="69"/>
        <v>1897.9431295577435</v>
      </c>
      <c r="BJ55" s="37">
        <f t="shared" si="70"/>
        <v>1789.9590342512413</v>
      </c>
      <c r="BK55" s="36">
        <f t="shared" si="16"/>
        <v>22303385.999917753</v>
      </c>
      <c r="BL55" s="36">
        <v>89818304</v>
      </c>
      <c r="BM55" s="38">
        <f t="shared" si="17"/>
        <v>112121689.99991775</v>
      </c>
      <c r="BN55" s="38">
        <v>112121689.99991775</v>
      </c>
      <c r="BO55" s="39">
        <f t="shared" si="18"/>
        <v>112121689.99991775</v>
      </c>
      <c r="BP55" s="39">
        <f t="shared" si="19"/>
        <v>112121689.99991775</v>
      </c>
      <c r="BQ55" s="39">
        <f t="shared" si="20"/>
        <v>112121689.99991775</v>
      </c>
      <c r="BR55" s="39"/>
      <c r="BS55" s="39"/>
      <c r="BT55" s="39"/>
      <c r="BU55" s="36"/>
      <c r="BV55" s="39"/>
      <c r="BW55" s="2"/>
      <c r="BX55" s="15">
        <v>2011</v>
      </c>
      <c r="BY55" s="16">
        <v>398.36399999999998</v>
      </c>
      <c r="BZ55" s="16">
        <v>286.50799999999998</v>
      </c>
      <c r="CA55" s="16">
        <v>260.02600000000001</v>
      </c>
      <c r="CB55" s="16">
        <v>263.00099999999998</v>
      </c>
      <c r="CC55" s="16">
        <v>245.98400000000001</v>
      </c>
      <c r="CD55" s="16">
        <v>239.28399999999999</v>
      </c>
      <c r="CE55" s="59">
        <v>212.19175291571645</v>
      </c>
      <c r="CF55" s="59">
        <v>192.02076071018044</v>
      </c>
      <c r="CG55" s="59">
        <v>173.90004534616568</v>
      </c>
      <c r="CH55" s="59">
        <v>162.80811791115701</v>
      </c>
      <c r="CI55" s="59">
        <v>152.72732311678038</v>
      </c>
      <c r="CK55" s="21">
        <v>2011</v>
      </c>
      <c r="CL55" s="24">
        <v>398.36399999999998</v>
      </c>
      <c r="CM55" s="24">
        <v>286.50799999999998</v>
      </c>
      <c r="CN55" s="24">
        <v>260.02600000000001</v>
      </c>
      <c r="CO55" s="24">
        <v>263.00099999999998</v>
      </c>
      <c r="CP55" s="24">
        <v>245.98400000000001</v>
      </c>
      <c r="CQ55" s="24">
        <v>239.28399999999999</v>
      </c>
      <c r="CR55" s="5">
        <v>212.19175291571645</v>
      </c>
      <c r="CS55" s="5">
        <v>192.02076071018044</v>
      </c>
      <c r="CT55" s="5">
        <v>173.90004534616568</v>
      </c>
      <c r="CU55" s="5">
        <v>162.80811791115701</v>
      </c>
      <c r="CV55" s="5">
        <v>152.72732311678038</v>
      </c>
      <c r="CX55" s="11">
        <v>2011</v>
      </c>
      <c r="CY55" s="13">
        <v>5.8203627837856837</v>
      </c>
      <c r="CZ55" s="13">
        <v>7.5202228210032533</v>
      </c>
      <c r="DA55" s="13">
        <v>7.6512464138201564</v>
      </c>
      <c r="DB55" s="13">
        <v>7.8400614446332906</v>
      </c>
      <c r="DC55" s="13">
        <v>8.0869284181084957</v>
      </c>
      <c r="DD55" s="13">
        <v>9.3444442587051366</v>
      </c>
      <c r="DE55" s="66">
        <v>9.7841255890751828</v>
      </c>
      <c r="DF55" s="66">
        <v>9.8014425717606315</v>
      </c>
      <c r="DG55" s="66">
        <v>10.968183557008008</v>
      </c>
      <c r="DH55" s="66">
        <v>11.657546035839777</v>
      </c>
      <c r="DI55" s="66">
        <v>11.719966000337603</v>
      </c>
      <c r="DK55" s="15">
        <v>2011</v>
      </c>
      <c r="DL55" s="16">
        <f t="shared" si="21"/>
        <v>2318.623</v>
      </c>
      <c r="DM55" s="16">
        <f t="shared" si="22"/>
        <v>2154.6039999999998</v>
      </c>
      <c r="DN55" s="16">
        <f t="shared" si="23"/>
        <v>1989.5230000000001</v>
      </c>
      <c r="DO55" s="16">
        <f t="shared" si="24"/>
        <v>2061.944</v>
      </c>
      <c r="DP55" s="16">
        <f t="shared" si="25"/>
        <v>1989.2550000000003</v>
      </c>
      <c r="DQ55" s="16">
        <f t="shared" si="26"/>
        <v>2235.9759999999997</v>
      </c>
      <c r="DR55" s="16">
        <f t="shared" si="27"/>
        <v>2076.1107594933796</v>
      </c>
      <c r="DS55" s="16">
        <f t="shared" si="28"/>
        <v>1882.0804586866238</v>
      </c>
      <c r="DT55" s="16">
        <f t="shared" si="29"/>
        <v>1907.3676179287613</v>
      </c>
      <c r="DU55" s="16">
        <f t="shared" si="30"/>
        <v>1897.9431295577435</v>
      </c>
      <c r="DV55" s="16">
        <f t="shared" si="31"/>
        <v>1789.9590342512413</v>
      </c>
      <c r="DW55" s="15">
        <f t="shared" si="32"/>
        <v>22303385.999917753</v>
      </c>
      <c r="DX55" s="15">
        <v>89818304</v>
      </c>
      <c r="DY55" s="15">
        <f t="shared" si="33"/>
        <v>112121689.99991775</v>
      </c>
      <c r="EA55" s="21">
        <v>2011</v>
      </c>
      <c r="EB55" s="24">
        <f t="shared" si="34"/>
        <v>2318.623</v>
      </c>
      <c r="EC55" s="24">
        <f t="shared" si="35"/>
        <v>2154.6039999999998</v>
      </c>
      <c r="ED55" s="24">
        <f t="shared" si="36"/>
        <v>1989.5230000000001</v>
      </c>
      <c r="EE55" s="24">
        <f t="shared" si="37"/>
        <v>2061.944</v>
      </c>
      <c r="EF55" s="24">
        <f t="shared" si="38"/>
        <v>1989.2550000000003</v>
      </c>
      <c r="EG55" s="24">
        <f t="shared" si="39"/>
        <v>2235.9759999999997</v>
      </c>
      <c r="EH55" s="24">
        <f t="shared" si="40"/>
        <v>2076.1107594933796</v>
      </c>
      <c r="EI55" s="24">
        <f t="shared" si="41"/>
        <v>1882.0804586866238</v>
      </c>
      <c r="EJ55" s="24">
        <f t="shared" si="42"/>
        <v>1907.3676179287613</v>
      </c>
      <c r="EK55" s="24">
        <f t="shared" si="43"/>
        <v>1897.9431295577435</v>
      </c>
      <c r="EL55" s="24">
        <f t="shared" si="44"/>
        <v>1789.9590342512413</v>
      </c>
      <c r="EM55" s="21">
        <f t="shared" si="45"/>
        <v>22303385.999917753</v>
      </c>
      <c r="EN55" s="21">
        <v>89818304</v>
      </c>
      <c r="EO55" s="21">
        <f t="shared" si="46"/>
        <v>112121689.99991775</v>
      </c>
      <c r="EQ55" s="11">
        <v>2011</v>
      </c>
      <c r="ER55" s="11">
        <f t="shared" si="47"/>
        <v>2318.623</v>
      </c>
      <c r="ES55" s="11">
        <f t="shared" si="48"/>
        <v>2154.6039999999998</v>
      </c>
      <c r="ET55" s="11">
        <f t="shared" si="49"/>
        <v>1989.5230000000001</v>
      </c>
      <c r="EU55" s="11">
        <f t="shared" si="50"/>
        <v>2061.944</v>
      </c>
      <c r="EV55" s="11">
        <f t="shared" si="51"/>
        <v>1989.2550000000003</v>
      </c>
      <c r="EW55" s="11">
        <f t="shared" si="52"/>
        <v>2235.9759999999997</v>
      </c>
      <c r="EX55" s="11">
        <f t="shared" si="53"/>
        <v>2076.1107594933796</v>
      </c>
      <c r="EY55" s="11">
        <f t="shared" si="54"/>
        <v>1882.0804586866238</v>
      </c>
      <c r="EZ55" s="11">
        <f t="shared" si="55"/>
        <v>1907.3676179287613</v>
      </c>
      <c r="FA55" s="11">
        <f t="shared" si="56"/>
        <v>1897.9431295577435</v>
      </c>
      <c r="FB55" s="11">
        <f t="shared" si="57"/>
        <v>1789.9590342512413</v>
      </c>
      <c r="FC55" s="11">
        <f t="shared" si="58"/>
        <v>22303385.999917753</v>
      </c>
      <c r="FD55" s="11">
        <v>89818304</v>
      </c>
      <c r="FE55" s="11">
        <f t="shared" si="59"/>
        <v>112121689.99991775</v>
      </c>
    </row>
    <row r="56" spans="1:161" x14ac:dyDescent="0.3">
      <c r="A56" s="15">
        <v>2012</v>
      </c>
      <c r="B56" s="16">
        <v>408.59100000000001</v>
      </c>
      <c r="C56" s="16">
        <v>305.428</v>
      </c>
      <c r="D56" s="16">
        <v>251.61500000000001</v>
      </c>
      <c r="E56" s="16">
        <v>234.90299999999999</v>
      </c>
      <c r="F56" s="16">
        <v>241.98</v>
      </c>
      <c r="G56" s="16">
        <v>226.827</v>
      </c>
      <c r="H56" s="59">
        <v>220.59424192894753</v>
      </c>
      <c r="I56" s="59">
        <v>198.98601245701997</v>
      </c>
      <c r="J56" s="59">
        <v>181.44650243246255</v>
      </c>
      <c r="K56" s="59">
        <v>165.70143364844458</v>
      </c>
      <c r="L56" s="59">
        <v>156.55580953312543</v>
      </c>
      <c r="M56" s="15"/>
      <c r="N56" s="15"/>
      <c r="O56" s="15"/>
      <c r="P56" s="18"/>
      <c r="R56" s="21">
        <v>2012</v>
      </c>
      <c r="S56" s="23">
        <v>0.7872199012533232</v>
      </c>
      <c r="T56" s="23">
        <v>0.85683285972616896</v>
      </c>
      <c r="U56" s="23">
        <v>0.88191721689378166</v>
      </c>
      <c r="V56" s="23">
        <v>0.89585089676832796</v>
      </c>
      <c r="W56" s="23">
        <v>0.90304946060213287</v>
      </c>
      <c r="X56" s="60">
        <v>0.91196723261027912</v>
      </c>
      <c r="Y56" s="60">
        <v>0.91710526461111663</v>
      </c>
      <c r="Z56" s="60">
        <v>0.92411400737870986</v>
      </c>
      <c r="AA56" s="60">
        <v>0.93186222830312226</v>
      </c>
      <c r="AB56" s="60">
        <v>0.94041223396580575</v>
      </c>
      <c r="AC56" s="60">
        <f t="shared" si="64"/>
        <v>0.88725191020745431</v>
      </c>
      <c r="AD56" s="21"/>
      <c r="AE56" s="21"/>
      <c r="AF56" s="21"/>
      <c r="AH56" s="11">
        <v>2012</v>
      </c>
      <c r="AI56" s="13">
        <v>5.6418203044119917</v>
      </c>
      <c r="AJ56" s="13">
        <v>7.3283261521536991</v>
      </c>
      <c r="AK56" s="13">
        <v>8.5077837171869728</v>
      </c>
      <c r="AL56" s="13">
        <v>8.5275496694380237</v>
      </c>
      <c r="AM56" s="13">
        <v>8.7818249442102658</v>
      </c>
      <c r="AN56" s="13">
        <v>8.5141539587438881</v>
      </c>
      <c r="AO56" s="66">
        <v>9.7825176424559217</v>
      </c>
      <c r="AP56" s="66">
        <v>10.242811508235745</v>
      </c>
      <c r="AQ56" s="66">
        <v>10.260940321886347</v>
      </c>
      <c r="AR56" s="66">
        <v>11.482378853313838</v>
      </c>
      <c r="AS56" s="66">
        <v>12.204059075755811</v>
      </c>
      <c r="AT56" s="66">
        <f t="shared" si="65"/>
        <v>7.1307920742941242</v>
      </c>
      <c r="AU56" s="13"/>
      <c r="AV56" s="13"/>
      <c r="AW56" s="13"/>
      <c r="AY56" s="36">
        <v>2012</v>
      </c>
      <c r="AZ56" s="37">
        <f t="shared" si="14"/>
        <v>2305.1970000000001</v>
      </c>
      <c r="BA56" s="37">
        <f t="shared" si="15"/>
        <v>2238.2759999999998</v>
      </c>
      <c r="BB56" s="37">
        <f t="shared" si="60"/>
        <v>2140.6860000000001</v>
      </c>
      <c r="BC56" s="37">
        <f t="shared" si="61"/>
        <v>2003.1469999999999</v>
      </c>
      <c r="BD56" s="37">
        <f t="shared" si="62"/>
        <v>2125.0259999999998</v>
      </c>
      <c r="BE56" s="37">
        <f t="shared" si="63"/>
        <v>1931.24</v>
      </c>
      <c r="BF56" s="37">
        <f t="shared" si="66"/>
        <v>2157.967063494119</v>
      </c>
      <c r="BG56" s="37">
        <f t="shared" si="67"/>
        <v>2038.1762183727053</v>
      </c>
      <c r="BH56" s="37">
        <f t="shared" si="68"/>
        <v>1861.811733074504</v>
      </c>
      <c r="BI56" s="37">
        <f t="shared" si="69"/>
        <v>1902.646637688686</v>
      </c>
      <c r="BJ56" s="37">
        <f t="shared" si="70"/>
        <v>1910.6163481950375</v>
      </c>
      <c r="BK56" s="36">
        <f t="shared" si="16"/>
        <v>22614790.000825055</v>
      </c>
      <c r="BL56" s="36">
        <v>92146347</v>
      </c>
      <c r="BM56" s="38">
        <f t="shared" si="17"/>
        <v>114761137.00082505</v>
      </c>
      <c r="BN56" s="38">
        <v>114761137.00082505</v>
      </c>
      <c r="BO56" s="39">
        <f t="shared" si="18"/>
        <v>114761137.00082505</v>
      </c>
      <c r="BP56" s="39">
        <f t="shared" si="19"/>
        <v>114761137.00082505</v>
      </c>
      <c r="BQ56" s="39">
        <f t="shared" si="20"/>
        <v>114761137.00082505</v>
      </c>
      <c r="BR56" s="39"/>
      <c r="BS56" s="39"/>
      <c r="BT56" s="39"/>
      <c r="BU56" s="36"/>
      <c r="BV56" s="36"/>
      <c r="BX56" s="15">
        <v>2012</v>
      </c>
      <c r="BY56" s="16">
        <v>408.59100000000001</v>
      </c>
      <c r="BZ56" s="16">
        <v>305.428</v>
      </c>
      <c r="CA56" s="16">
        <v>251.61500000000001</v>
      </c>
      <c r="CB56" s="16">
        <v>234.90299999999999</v>
      </c>
      <c r="CC56" s="16">
        <v>241.98</v>
      </c>
      <c r="CD56" s="16">
        <v>226.827</v>
      </c>
      <c r="CE56" s="59">
        <v>220.59424192894753</v>
      </c>
      <c r="CF56" s="59">
        <v>198.98601245701997</v>
      </c>
      <c r="CG56" s="59">
        <v>181.44650243246255</v>
      </c>
      <c r="CH56" s="59">
        <v>165.70143364844458</v>
      </c>
      <c r="CI56" s="59">
        <v>156.55580953312543</v>
      </c>
      <c r="CK56" s="21">
        <v>2012</v>
      </c>
      <c r="CL56" s="24">
        <v>408.59100000000001</v>
      </c>
      <c r="CM56" s="24">
        <v>305.428</v>
      </c>
      <c r="CN56" s="24">
        <v>251.61500000000001</v>
      </c>
      <c r="CO56" s="24">
        <v>234.90299999999999</v>
      </c>
      <c r="CP56" s="24">
        <v>241.98</v>
      </c>
      <c r="CQ56" s="24">
        <v>226.827</v>
      </c>
      <c r="CR56" s="5">
        <v>220.59424192894753</v>
      </c>
      <c r="CS56" s="5">
        <v>198.98601245701997</v>
      </c>
      <c r="CT56" s="5">
        <v>181.44650243246255</v>
      </c>
      <c r="CU56" s="5">
        <v>165.70143364844458</v>
      </c>
      <c r="CV56" s="5">
        <v>156.55580953312543</v>
      </c>
      <c r="CX56" s="11">
        <v>2012</v>
      </c>
      <c r="CY56" s="13">
        <v>5.6418203044119917</v>
      </c>
      <c r="CZ56" s="13">
        <v>7.3283261521536991</v>
      </c>
      <c r="DA56" s="13">
        <v>8.5077837171869728</v>
      </c>
      <c r="DB56" s="13">
        <v>8.5275496694380237</v>
      </c>
      <c r="DC56" s="13">
        <v>8.7818249442102658</v>
      </c>
      <c r="DD56" s="13">
        <v>8.5141539587438881</v>
      </c>
      <c r="DE56" s="66">
        <v>9.7825176424559217</v>
      </c>
      <c r="DF56" s="66">
        <v>10.242811508235745</v>
      </c>
      <c r="DG56" s="66">
        <v>10.260940321886347</v>
      </c>
      <c r="DH56" s="66">
        <v>11.482378853313838</v>
      </c>
      <c r="DI56" s="66">
        <v>12.204059075755811</v>
      </c>
      <c r="DK56" s="15">
        <v>2012</v>
      </c>
      <c r="DL56" s="16">
        <f t="shared" si="21"/>
        <v>2305.1970000000001</v>
      </c>
      <c r="DM56" s="16">
        <f t="shared" si="22"/>
        <v>2238.2759999999998</v>
      </c>
      <c r="DN56" s="16">
        <f t="shared" si="23"/>
        <v>2140.6860000000001</v>
      </c>
      <c r="DO56" s="16">
        <f t="shared" si="24"/>
        <v>2003.1469999999999</v>
      </c>
      <c r="DP56" s="16">
        <f t="shared" si="25"/>
        <v>2125.0259999999998</v>
      </c>
      <c r="DQ56" s="16">
        <f t="shared" si="26"/>
        <v>1931.24</v>
      </c>
      <c r="DR56" s="16">
        <f t="shared" si="27"/>
        <v>2157.967063494119</v>
      </c>
      <c r="DS56" s="16">
        <f t="shared" si="28"/>
        <v>2038.1762183727053</v>
      </c>
      <c r="DT56" s="16">
        <f t="shared" si="29"/>
        <v>1861.811733074504</v>
      </c>
      <c r="DU56" s="16">
        <f t="shared" si="30"/>
        <v>1902.646637688686</v>
      </c>
      <c r="DV56" s="16">
        <f t="shared" si="31"/>
        <v>1910.6163481950375</v>
      </c>
      <c r="DW56" s="15">
        <f t="shared" si="32"/>
        <v>22614790.000825055</v>
      </c>
      <c r="DX56" s="15">
        <v>92146347</v>
      </c>
      <c r="DY56" s="15">
        <f t="shared" si="33"/>
        <v>114761137.00082505</v>
      </c>
      <c r="EA56" s="21">
        <v>2012</v>
      </c>
      <c r="EB56" s="24">
        <f t="shared" si="34"/>
        <v>2305.1970000000001</v>
      </c>
      <c r="EC56" s="24">
        <f t="shared" si="35"/>
        <v>2238.2759999999998</v>
      </c>
      <c r="ED56" s="24">
        <f t="shared" si="36"/>
        <v>2140.6860000000001</v>
      </c>
      <c r="EE56" s="24">
        <f t="shared" si="37"/>
        <v>2003.1469999999999</v>
      </c>
      <c r="EF56" s="24">
        <f t="shared" si="38"/>
        <v>2125.0259999999998</v>
      </c>
      <c r="EG56" s="24">
        <f t="shared" si="39"/>
        <v>1931.24</v>
      </c>
      <c r="EH56" s="24">
        <f t="shared" si="40"/>
        <v>2157.967063494119</v>
      </c>
      <c r="EI56" s="24">
        <f t="shared" si="41"/>
        <v>2038.1762183727053</v>
      </c>
      <c r="EJ56" s="24">
        <f t="shared" si="42"/>
        <v>1861.811733074504</v>
      </c>
      <c r="EK56" s="24">
        <f t="shared" si="43"/>
        <v>1902.646637688686</v>
      </c>
      <c r="EL56" s="24">
        <f t="shared" si="44"/>
        <v>1910.6163481950375</v>
      </c>
      <c r="EM56" s="21">
        <f t="shared" si="45"/>
        <v>22614790.000825055</v>
      </c>
      <c r="EN56" s="21">
        <v>92146347</v>
      </c>
      <c r="EO56" s="21">
        <f t="shared" si="46"/>
        <v>114761137.00082505</v>
      </c>
      <c r="EQ56" s="11">
        <v>2012</v>
      </c>
      <c r="ER56" s="11">
        <f t="shared" si="47"/>
        <v>2305.1970000000001</v>
      </c>
      <c r="ES56" s="11">
        <f t="shared" si="48"/>
        <v>2238.2759999999998</v>
      </c>
      <c r="ET56" s="11">
        <f t="shared" si="49"/>
        <v>2140.6860000000001</v>
      </c>
      <c r="EU56" s="11">
        <f t="shared" si="50"/>
        <v>2003.1469999999999</v>
      </c>
      <c r="EV56" s="11">
        <f t="shared" si="51"/>
        <v>2125.0259999999998</v>
      </c>
      <c r="EW56" s="11">
        <f t="shared" si="52"/>
        <v>1931.24</v>
      </c>
      <c r="EX56" s="11">
        <f t="shared" si="53"/>
        <v>2157.967063494119</v>
      </c>
      <c r="EY56" s="11">
        <f t="shared" si="54"/>
        <v>2038.1762183727053</v>
      </c>
      <c r="EZ56" s="11">
        <f t="shared" si="55"/>
        <v>1861.811733074504</v>
      </c>
      <c r="FA56" s="11">
        <f t="shared" si="56"/>
        <v>1902.646637688686</v>
      </c>
      <c r="FB56" s="11">
        <f t="shared" si="57"/>
        <v>1910.6163481950375</v>
      </c>
      <c r="FC56" s="11">
        <f t="shared" si="58"/>
        <v>22614790.000825055</v>
      </c>
      <c r="FD56" s="11">
        <v>92146347</v>
      </c>
      <c r="FE56" s="11">
        <f t="shared" si="59"/>
        <v>114761137.00082505</v>
      </c>
    </row>
    <row r="57" spans="1:161" x14ac:dyDescent="0.3">
      <c r="A57" s="15">
        <v>2013</v>
      </c>
      <c r="B57" s="16">
        <v>404.47500000000002</v>
      </c>
      <c r="C57" s="16">
        <v>315.04700000000003</v>
      </c>
      <c r="D57" s="16">
        <v>269.05099999999999</v>
      </c>
      <c r="E57" s="16">
        <v>226.79300000000001</v>
      </c>
      <c r="F57" s="16">
        <v>214.96100000000001</v>
      </c>
      <c r="G57" s="16">
        <v>224.071</v>
      </c>
      <c r="H57" s="59">
        <v>221.5608543437437</v>
      </c>
      <c r="I57" s="59">
        <v>203.84318286656435</v>
      </c>
      <c r="J57" s="59">
        <v>184.80450640517739</v>
      </c>
      <c r="K57" s="59">
        <v>169.67019561770215</v>
      </c>
      <c r="L57" s="59">
        <v>156.11326076681249</v>
      </c>
      <c r="M57" s="16"/>
      <c r="N57" s="15"/>
      <c r="O57" s="18"/>
      <c r="P57" s="18"/>
      <c r="R57" s="21">
        <v>2013</v>
      </c>
      <c r="S57" s="23">
        <v>0.78664135827352744</v>
      </c>
      <c r="T57" s="23">
        <v>0.86116758532768878</v>
      </c>
      <c r="U57" s="23">
        <v>0.8824875547305252</v>
      </c>
      <c r="V57" s="23">
        <v>0.89743720954033523</v>
      </c>
      <c r="W57" s="23">
        <v>0.90701607972473008</v>
      </c>
      <c r="X57" s="60">
        <v>0.91228700289841036</v>
      </c>
      <c r="Y57" s="60">
        <v>0.92035508086023732</v>
      </c>
      <c r="Z57" s="60">
        <v>0.92500355614254448</v>
      </c>
      <c r="AA57" s="60">
        <v>0.93134449903855909</v>
      </c>
      <c r="AB57" s="60">
        <v>0.9383544618887546</v>
      </c>
      <c r="AC57" s="60">
        <f t="shared" si="64"/>
        <v>0.88796224948118807</v>
      </c>
      <c r="AD57" s="21"/>
      <c r="AE57" s="21"/>
      <c r="AF57" s="21"/>
      <c r="AH57" s="11">
        <v>2013</v>
      </c>
      <c r="AI57" s="13">
        <v>5.5535002163298106</v>
      </c>
      <c r="AJ57" s="13">
        <v>6.8593828857281611</v>
      </c>
      <c r="AK57" s="13">
        <v>8.0938855458630528</v>
      </c>
      <c r="AL57" s="13">
        <v>9.29795893171306</v>
      </c>
      <c r="AM57" s="13">
        <v>9.1167281506877984</v>
      </c>
      <c r="AN57" s="13">
        <v>9.266428944397088</v>
      </c>
      <c r="AO57" s="66">
        <v>8.9363147006346892</v>
      </c>
      <c r="AP57" s="66">
        <v>10.267568174253952</v>
      </c>
      <c r="AQ57" s="66">
        <v>10.750684977087413</v>
      </c>
      <c r="AR57" s="66">
        <v>10.769712679043</v>
      </c>
      <c r="AS57" s="66">
        <v>12.051714291558762</v>
      </c>
      <c r="AT57" s="66">
        <f t="shared" si="65"/>
        <v>7.2952001816425369</v>
      </c>
      <c r="AU57" s="13"/>
      <c r="AV57" s="13"/>
      <c r="AW57" s="11"/>
      <c r="AY57" s="36">
        <v>2013</v>
      </c>
      <c r="AZ57" s="37">
        <f t="shared" si="14"/>
        <v>2246.2520000000004</v>
      </c>
      <c r="BA57" s="37">
        <f t="shared" si="15"/>
        <v>2161.0280000000002</v>
      </c>
      <c r="BB57" s="37">
        <f t="shared" si="60"/>
        <v>2177.6680000000001</v>
      </c>
      <c r="BC57" s="37">
        <f t="shared" si="61"/>
        <v>2108.712</v>
      </c>
      <c r="BD57" s="37">
        <f t="shared" si="62"/>
        <v>1959.741</v>
      </c>
      <c r="BE57" s="37">
        <f t="shared" si="63"/>
        <v>2076.3379999999997</v>
      </c>
      <c r="BF57" s="37">
        <f t="shared" si="66"/>
        <v>1979.9375197571781</v>
      </c>
      <c r="BG57" s="37">
        <f t="shared" si="67"/>
        <v>2092.9737769393646</v>
      </c>
      <c r="BH57" s="37">
        <f t="shared" si="68"/>
        <v>1986.7750307081953</v>
      </c>
      <c r="BI57" s="37">
        <f t="shared" si="69"/>
        <v>1827.2992569996729</v>
      </c>
      <c r="BJ57" s="37">
        <f t="shared" si="70"/>
        <v>1881.4324158852337</v>
      </c>
      <c r="BK57" s="36">
        <f t="shared" si="16"/>
        <v>22498157.000289641</v>
      </c>
      <c r="BL57" s="36">
        <v>94696219</v>
      </c>
      <c r="BM57" s="38">
        <f t="shared" si="17"/>
        <v>117194376.00028965</v>
      </c>
      <c r="BN57" s="38">
        <v>117194376.00028965</v>
      </c>
      <c r="BO57" s="39">
        <f t="shared" si="18"/>
        <v>117194376.00028965</v>
      </c>
      <c r="BP57" s="39">
        <f t="shared" si="19"/>
        <v>117194376.00028965</v>
      </c>
      <c r="BQ57" s="39">
        <f t="shared" si="20"/>
        <v>117194376.00028965</v>
      </c>
      <c r="BR57" s="39"/>
      <c r="BS57" s="39"/>
      <c r="BT57" s="39"/>
      <c r="BU57" s="36"/>
      <c r="BV57" s="36"/>
      <c r="BX57" s="15">
        <v>2013</v>
      </c>
      <c r="BY57" s="16">
        <v>404.47500000000002</v>
      </c>
      <c r="BZ57" s="16">
        <v>315.04700000000003</v>
      </c>
      <c r="CA57" s="16">
        <v>269.05099999999999</v>
      </c>
      <c r="CB57" s="16">
        <v>226.79300000000001</v>
      </c>
      <c r="CC57" s="16">
        <v>214.96100000000001</v>
      </c>
      <c r="CD57" s="16">
        <v>224.071</v>
      </c>
      <c r="CE57" s="59">
        <v>221.5608543437437</v>
      </c>
      <c r="CF57" s="59">
        <v>203.84318286656435</v>
      </c>
      <c r="CG57" s="59">
        <v>184.80450640517739</v>
      </c>
      <c r="CH57" s="59">
        <v>169.67019561770215</v>
      </c>
      <c r="CI57" s="59">
        <v>156.11326076681249</v>
      </c>
      <c r="CK57" s="21">
        <v>2013</v>
      </c>
      <c r="CL57" s="24">
        <v>404.47500000000002</v>
      </c>
      <c r="CM57" s="24">
        <v>315.04700000000003</v>
      </c>
      <c r="CN57" s="24">
        <v>269.05099999999999</v>
      </c>
      <c r="CO57" s="24">
        <v>226.79300000000001</v>
      </c>
      <c r="CP57" s="24">
        <v>214.96100000000001</v>
      </c>
      <c r="CQ57" s="24">
        <v>224.071</v>
      </c>
      <c r="CR57" s="5">
        <v>221.5608543437437</v>
      </c>
      <c r="CS57" s="5">
        <v>203.84318286656435</v>
      </c>
      <c r="CT57" s="5">
        <v>184.80450640517739</v>
      </c>
      <c r="CU57" s="5">
        <v>169.67019561770215</v>
      </c>
      <c r="CV57" s="5">
        <v>156.11326076681249</v>
      </c>
      <c r="CX57" s="11">
        <v>2013</v>
      </c>
      <c r="CY57" s="13">
        <v>5.5535002163298106</v>
      </c>
      <c r="CZ57" s="13">
        <v>6.8593828857281611</v>
      </c>
      <c r="DA57" s="13">
        <v>8.0938855458630528</v>
      </c>
      <c r="DB57" s="13">
        <v>9.29795893171306</v>
      </c>
      <c r="DC57" s="13">
        <v>9.1167281506877984</v>
      </c>
      <c r="DD57" s="13">
        <v>9.266428944397088</v>
      </c>
      <c r="DE57" s="66">
        <v>8.9363147006346892</v>
      </c>
      <c r="DF57" s="66">
        <v>10.267568174253952</v>
      </c>
      <c r="DG57" s="66">
        <v>10.750684977087413</v>
      </c>
      <c r="DH57" s="66">
        <v>10.769712679043</v>
      </c>
      <c r="DI57" s="66">
        <v>12.051714291558762</v>
      </c>
      <c r="DK57" s="15">
        <v>2013</v>
      </c>
      <c r="DL57" s="16">
        <f t="shared" si="21"/>
        <v>2246.2520000000004</v>
      </c>
      <c r="DM57" s="16">
        <f t="shared" si="22"/>
        <v>2161.0280000000002</v>
      </c>
      <c r="DN57" s="16">
        <f t="shared" si="23"/>
        <v>2177.6680000000001</v>
      </c>
      <c r="DO57" s="16">
        <f t="shared" si="24"/>
        <v>2108.712</v>
      </c>
      <c r="DP57" s="16">
        <f t="shared" si="25"/>
        <v>1959.741</v>
      </c>
      <c r="DQ57" s="16">
        <f t="shared" si="26"/>
        <v>2076.3379999999997</v>
      </c>
      <c r="DR57" s="16">
        <f t="shared" si="27"/>
        <v>1979.9375197571781</v>
      </c>
      <c r="DS57" s="16">
        <f t="shared" si="28"/>
        <v>2092.9737769393646</v>
      </c>
      <c r="DT57" s="16">
        <f t="shared" si="29"/>
        <v>1986.7750307081953</v>
      </c>
      <c r="DU57" s="16">
        <f t="shared" si="30"/>
        <v>1827.2992569996729</v>
      </c>
      <c r="DV57" s="16">
        <f t="shared" si="31"/>
        <v>1881.4324158852337</v>
      </c>
      <c r="DW57" s="15">
        <f t="shared" si="32"/>
        <v>22498157.000289641</v>
      </c>
      <c r="DX57" s="15">
        <v>94696219</v>
      </c>
      <c r="DY57" s="15">
        <f t="shared" si="33"/>
        <v>117194376.00028965</v>
      </c>
      <c r="EA57" s="21">
        <v>2013</v>
      </c>
      <c r="EB57" s="24">
        <f t="shared" si="34"/>
        <v>2246.2520000000004</v>
      </c>
      <c r="EC57" s="24">
        <f t="shared" si="35"/>
        <v>2161.0280000000002</v>
      </c>
      <c r="ED57" s="24">
        <f t="shared" si="36"/>
        <v>2177.6680000000001</v>
      </c>
      <c r="EE57" s="24">
        <f t="shared" si="37"/>
        <v>2108.712</v>
      </c>
      <c r="EF57" s="24">
        <f t="shared" si="38"/>
        <v>1959.741</v>
      </c>
      <c r="EG57" s="24">
        <f t="shared" si="39"/>
        <v>2076.3379999999997</v>
      </c>
      <c r="EH57" s="24">
        <f t="shared" si="40"/>
        <v>1979.9375197571781</v>
      </c>
      <c r="EI57" s="24">
        <f t="shared" si="41"/>
        <v>2092.9737769393646</v>
      </c>
      <c r="EJ57" s="24">
        <f t="shared" si="42"/>
        <v>1986.7750307081953</v>
      </c>
      <c r="EK57" s="24">
        <f t="shared" si="43"/>
        <v>1827.2992569996729</v>
      </c>
      <c r="EL57" s="24">
        <f t="shared" si="44"/>
        <v>1881.4324158852337</v>
      </c>
      <c r="EM57" s="21">
        <f t="shared" si="45"/>
        <v>22498157.000289641</v>
      </c>
      <c r="EN57" s="21">
        <v>94696219</v>
      </c>
      <c r="EO57" s="21">
        <f t="shared" si="46"/>
        <v>117194376.00028965</v>
      </c>
      <c r="EQ57" s="11">
        <v>2013</v>
      </c>
      <c r="ER57" s="11">
        <f t="shared" si="47"/>
        <v>2246.2520000000004</v>
      </c>
      <c r="ES57" s="11">
        <f t="shared" si="48"/>
        <v>2161.0280000000002</v>
      </c>
      <c r="ET57" s="11">
        <f t="shared" si="49"/>
        <v>2177.6680000000001</v>
      </c>
      <c r="EU57" s="11">
        <f t="shared" si="50"/>
        <v>2108.712</v>
      </c>
      <c r="EV57" s="11">
        <f t="shared" si="51"/>
        <v>1959.741</v>
      </c>
      <c r="EW57" s="11">
        <f t="shared" si="52"/>
        <v>2076.3379999999997</v>
      </c>
      <c r="EX57" s="11">
        <f t="shared" si="53"/>
        <v>1979.9375197571781</v>
      </c>
      <c r="EY57" s="11">
        <f t="shared" si="54"/>
        <v>2092.9737769393646</v>
      </c>
      <c r="EZ57" s="11">
        <f t="shared" si="55"/>
        <v>1986.7750307081953</v>
      </c>
      <c r="FA57" s="11">
        <f t="shared" si="56"/>
        <v>1827.2992569996729</v>
      </c>
      <c r="FB57" s="11">
        <f t="shared" si="57"/>
        <v>1881.4324158852337</v>
      </c>
      <c r="FC57" s="11">
        <f t="shared" si="58"/>
        <v>22498157.000289641</v>
      </c>
      <c r="FD57" s="11">
        <v>94696219</v>
      </c>
      <c r="FE57" s="11">
        <f t="shared" si="59"/>
        <v>117194376.00028965</v>
      </c>
    </row>
    <row r="58" spans="1:161" x14ac:dyDescent="0.3">
      <c r="A58" s="15">
        <v>2014</v>
      </c>
      <c r="B58" s="16">
        <v>403.90199999999999</v>
      </c>
      <c r="C58" s="16">
        <v>312.55200000000002</v>
      </c>
      <c r="D58" s="16">
        <v>275.62299999999999</v>
      </c>
      <c r="E58" s="16">
        <v>241.54499999999999</v>
      </c>
      <c r="F58" s="16">
        <v>206.43100000000001</v>
      </c>
      <c r="G58" s="16">
        <v>197.96799999999999</v>
      </c>
      <c r="H58" s="59">
        <v>221.63410111428902</v>
      </c>
      <c r="I58" s="59">
        <v>203.33203501506887</v>
      </c>
      <c r="J58" s="59">
        <v>188.67486683340618</v>
      </c>
      <c r="K58" s="59">
        <v>171.89009853725443</v>
      </c>
      <c r="L58" s="59">
        <v>158.86189849998146</v>
      </c>
      <c r="M58" s="16"/>
      <c r="N58" s="15"/>
      <c r="O58" s="18"/>
      <c r="P58" s="18"/>
      <c r="R58" s="21">
        <v>2014</v>
      </c>
      <c r="S58" s="23">
        <v>0.77096291177148124</v>
      </c>
      <c r="T58" s="23">
        <v>0.84923246608592173</v>
      </c>
      <c r="U58" s="23">
        <v>0.87480593678196605</v>
      </c>
      <c r="V58" s="23">
        <v>0.89013278044479749</v>
      </c>
      <c r="W58" s="23">
        <v>0.90179726016325867</v>
      </c>
      <c r="X58" s="60">
        <v>0.90967094870593179</v>
      </c>
      <c r="Y58" s="60">
        <v>0.91479137692957468</v>
      </c>
      <c r="Z58" s="60">
        <v>0.92262909581581787</v>
      </c>
      <c r="AA58" s="60">
        <v>0.92714484822732812</v>
      </c>
      <c r="AB58" s="60">
        <v>0.93330474506122396</v>
      </c>
      <c r="AC58" s="60">
        <f t="shared" si="64"/>
        <v>0.88039358979927351</v>
      </c>
      <c r="AD58" s="21"/>
      <c r="AE58" s="21"/>
      <c r="AF58" s="21"/>
      <c r="AH58" s="11">
        <v>2014</v>
      </c>
      <c r="AI58" s="13">
        <v>6.0886353620432683</v>
      </c>
      <c r="AJ58" s="13">
        <v>6.8472510174306995</v>
      </c>
      <c r="AK58" s="13">
        <v>7.7324171059744655</v>
      </c>
      <c r="AL58" s="13">
        <v>8.9281458941398082</v>
      </c>
      <c r="AM58" s="13">
        <v>9.987133715381896</v>
      </c>
      <c r="AN58" s="13">
        <v>9.788304170370969</v>
      </c>
      <c r="AO58" s="66">
        <v>9.774087734331161</v>
      </c>
      <c r="AP58" s="66">
        <v>9.4258882714909475</v>
      </c>
      <c r="AQ58" s="66">
        <v>10.830074104659758</v>
      </c>
      <c r="AR58" s="66">
        <v>11.339658330164337</v>
      </c>
      <c r="AS58" s="66">
        <v>11.359728459597431</v>
      </c>
      <c r="AT58" s="66">
        <f t="shared" si="65"/>
        <v>7.6683772192269144</v>
      </c>
      <c r="AU58" s="13"/>
      <c r="AV58" s="13"/>
      <c r="AW58" s="11"/>
      <c r="AY58" s="36">
        <v>2014</v>
      </c>
      <c r="AZ58" s="37">
        <f t="shared" si="14"/>
        <v>2459.212</v>
      </c>
      <c r="BA58" s="37">
        <f t="shared" si="15"/>
        <v>2140.1220000000003</v>
      </c>
      <c r="BB58" s="37">
        <f t="shared" si="60"/>
        <v>2131.232</v>
      </c>
      <c r="BC58" s="37">
        <f t="shared" si="61"/>
        <v>2156.549</v>
      </c>
      <c r="BD58" s="37">
        <f t="shared" si="62"/>
        <v>2061.6540000000005</v>
      </c>
      <c r="BE58" s="37">
        <f t="shared" si="63"/>
        <v>1937.771</v>
      </c>
      <c r="BF58" s="37">
        <f t="shared" si="66"/>
        <v>2166.2711492106846</v>
      </c>
      <c r="BG58" s="37">
        <f t="shared" si="67"/>
        <v>1916.5850440669244</v>
      </c>
      <c r="BH58" s="37">
        <f t="shared" si="68"/>
        <v>2043.3627894926005</v>
      </c>
      <c r="BI58" s="37">
        <f t="shared" si="69"/>
        <v>1949.1749877507459</v>
      </c>
      <c r="BJ58" s="37">
        <f t="shared" si="70"/>
        <v>1804.6280295359179</v>
      </c>
      <c r="BK58" s="36">
        <f t="shared" si="16"/>
        <v>22766562.000056874</v>
      </c>
      <c r="BL58" s="36">
        <v>96336348</v>
      </c>
      <c r="BM58" s="38">
        <f t="shared" si="17"/>
        <v>119102910.00005688</v>
      </c>
      <c r="BN58" s="38">
        <v>119102910.00005688</v>
      </c>
      <c r="BO58" s="39">
        <f t="shared" si="18"/>
        <v>119102910.00005688</v>
      </c>
      <c r="BP58" s="39">
        <f t="shared" si="19"/>
        <v>119102910.00005688</v>
      </c>
      <c r="BQ58" s="39">
        <f t="shared" si="20"/>
        <v>119102910.00005688</v>
      </c>
      <c r="BR58" s="39"/>
      <c r="BS58" s="39"/>
      <c r="BT58" s="39"/>
      <c r="BU58" s="36"/>
      <c r="BV58" s="36"/>
      <c r="BX58" s="15">
        <v>2014</v>
      </c>
      <c r="BY58" s="16">
        <v>403.90199999999999</v>
      </c>
      <c r="BZ58" s="16">
        <v>312.55200000000002</v>
      </c>
      <c r="CA58" s="16">
        <v>275.62299999999999</v>
      </c>
      <c r="CB58" s="16">
        <v>241.54499999999999</v>
      </c>
      <c r="CC58" s="16">
        <v>206.43100000000001</v>
      </c>
      <c r="CD58" s="16">
        <v>197.96799999999999</v>
      </c>
      <c r="CE58" s="59">
        <v>221.63410111428902</v>
      </c>
      <c r="CF58" s="59">
        <v>203.33203501506887</v>
      </c>
      <c r="CG58" s="59">
        <v>188.67486683340618</v>
      </c>
      <c r="CH58" s="59">
        <v>171.89009853725443</v>
      </c>
      <c r="CI58" s="59">
        <v>158.86189849998146</v>
      </c>
      <c r="CK58" s="21">
        <v>2014</v>
      </c>
      <c r="CL58" s="24">
        <v>403.90199999999999</v>
      </c>
      <c r="CM58" s="24">
        <v>312.55200000000002</v>
      </c>
      <c r="CN58" s="24">
        <v>275.62299999999999</v>
      </c>
      <c r="CO58" s="24">
        <v>241.54499999999999</v>
      </c>
      <c r="CP58" s="24">
        <v>206.43100000000001</v>
      </c>
      <c r="CQ58" s="24">
        <v>197.96799999999999</v>
      </c>
      <c r="CR58" s="5">
        <v>221.63410111428902</v>
      </c>
      <c r="CS58" s="5">
        <v>203.33203501506887</v>
      </c>
      <c r="CT58" s="5">
        <v>188.67486683340618</v>
      </c>
      <c r="CU58" s="5">
        <v>171.89009853725443</v>
      </c>
      <c r="CV58" s="5">
        <v>158.86189849998146</v>
      </c>
      <c r="CX58" s="11">
        <v>2014</v>
      </c>
      <c r="CY58" s="13">
        <v>6.0886353620432683</v>
      </c>
      <c r="CZ58" s="13">
        <v>6.8472510174306995</v>
      </c>
      <c r="DA58" s="13">
        <v>7.7324171059744655</v>
      </c>
      <c r="DB58" s="13">
        <v>8.9281458941398082</v>
      </c>
      <c r="DC58" s="13">
        <v>9.987133715381896</v>
      </c>
      <c r="DD58" s="13">
        <v>9.788304170370969</v>
      </c>
      <c r="DE58" s="66">
        <v>9.774087734331161</v>
      </c>
      <c r="DF58" s="66">
        <v>9.4258882714909475</v>
      </c>
      <c r="DG58" s="66">
        <v>10.830074104659758</v>
      </c>
      <c r="DH58" s="66">
        <v>11.339658330164337</v>
      </c>
      <c r="DI58" s="66">
        <v>11.359728459597431</v>
      </c>
      <c r="DK58" s="15">
        <v>2014</v>
      </c>
      <c r="DL58" s="16">
        <f t="shared" si="21"/>
        <v>2459.212</v>
      </c>
      <c r="DM58" s="16">
        <f t="shared" si="22"/>
        <v>2140.1220000000003</v>
      </c>
      <c r="DN58" s="16">
        <f t="shared" si="23"/>
        <v>2131.232</v>
      </c>
      <c r="DO58" s="16">
        <f t="shared" si="24"/>
        <v>2156.549</v>
      </c>
      <c r="DP58" s="16">
        <f t="shared" si="25"/>
        <v>2061.6540000000005</v>
      </c>
      <c r="DQ58" s="16">
        <f t="shared" si="26"/>
        <v>1937.771</v>
      </c>
      <c r="DR58" s="16">
        <f t="shared" si="27"/>
        <v>2166.2711492106846</v>
      </c>
      <c r="DS58" s="16">
        <f t="shared" si="28"/>
        <v>1916.5850440669244</v>
      </c>
      <c r="DT58" s="16">
        <f t="shared" si="29"/>
        <v>2043.3627894926005</v>
      </c>
      <c r="DU58" s="16">
        <f t="shared" si="30"/>
        <v>1949.1749877507459</v>
      </c>
      <c r="DV58" s="16">
        <f t="shared" si="31"/>
        <v>1804.6280295359179</v>
      </c>
      <c r="DW58" s="15">
        <f t="shared" si="32"/>
        <v>22766562.000056874</v>
      </c>
      <c r="DX58" s="15">
        <v>96336348</v>
      </c>
      <c r="DY58" s="15">
        <f t="shared" si="33"/>
        <v>119102910.00005688</v>
      </c>
      <c r="EA58" s="21">
        <v>2014</v>
      </c>
      <c r="EB58" s="24">
        <f t="shared" si="34"/>
        <v>2459.212</v>
      </c>
      <c r="EC58" s="24">
        <f t="shared" si="35"/>
        <v>2140.1220000000003</v>
      </c>
      <c r="ED58" s="24">
        <f t="shared" si="36"/>
        <v>2131.232</v>
      </c>
      <c r="EE58" s="24">
        <f t="shared" si="37"/>
        <v>2156.549</v>
      </c>
      <c r="EF58" s="24">
        <f t="shared" si="38"/>
        <v>2061.6540000000005</v>
      </c>
      <c r="EG58" s="24">
        <f t="shared" si="39"/>
        <v>1937.771</v>
      </c>
      <c r="EH58" s="24">
        <f t="shared" si="40"/>
        <v>2166.2711492106846</v>
      </c>
      <c r="EI58" s="24">
        <f t="shared" si="41"/>
        <v>1916.5850440669244</v>
      </c>
      <c r="EJ58" s="24">
        <f t="shared" si="42"/>
        <v>2043.3627894926005</v>
      </c>
      <c r="EK58" s="24">
        <f t="shared" si="43"/>
        <v>1949.1749877507459</v>
      </c>
      <c r="EL58" s="24">
        <f t="shared" si="44"/>
        <v>1804.6280295359179</v>
      </c>
      <c r="EM58" s="21">
        <f t="shared" si="45"/>
        <v>22766562.000056874</v>
      </c>
      <c r="EN58" s="21">
        <v>96336348</v>
      </c>
      <c r="EO58" s="21">
        <f t="shared" si="46"/>
        <v>119102910.00005688</v>
      </c>
      <c r="EQ58" s="11">
        <v>2014</v>
      </c>
      <c r="ER58" s="11">
        <f t="shared" si="47"/>
        <v>2459.212</v>
      </c>
      <c r="ES58" s="11">
        <f t="shared" si="48"/>
        <v>2140.1220000000003</v>
      </c>
      <c r="ET58" s="11">
        <f t="shared" si="49"/>
        <v>2131.232</v>
      </c>
      <c r="EU58" s="11">
        <f t="shared" si="50"/>
        <v>2156.549</v>
      </c>
      <c r="EV58" s="11">
        <f t="shared" si="51"/>
        <v>2061.6540000000005</v>
      </c>
      <c r="EW58" s="11">
        <f t="shared" si="52"/>
        <v>1937.771</v>
      </c>
      <c r="EX58" s="11">
        <f t="shared" si="53"/>
        <v>2166.2711492106846</v>
      </c>
      <c r="EY58" s="11">
        <f t="shared" si="54"/>
        <v>1916.5850440669244</v>
      </c>
      <c r="EZ58" s="11">
        <f t="shared" si="55"/>
        <v>2043.3627894926005</v>
      </c>
      <c r="FA58" s="11">
        <f t="shared" si="56"/>
        <v>1949.1749877507459</v>
      </c>
      <c r="FB58" s="11">
        <f t="shared" si="57"/>
        <v>1804.6280295359179</v>
      </c>
      <c r="FC58" s="11">
        <f t="shared" si="58"/>
        <v>22766562.000056874</v>
      </c>
      <c r="FD58" s="11">
        <v>96336348</v>
      </c>
      <c r="FE58" s="11">
        <f t="shared" si="59"/>
        <v>119102910.00005688</v>
      </c>
    </row>
    <row r="59" spans="1:161" x14ac:dyDescent="0.3">
      <c r="A59" s="15">
        <v>2015</v>
      </c>
      <c r="B59" s="16">
        <v>414.04300000000001</v>
      </c>
      <c r="C59" s="16">
        <v>316.07499999999999</v>
      </c>
      <c r="D59" s="16">
        <v>275.14800000000002</v>
      </c>
      <c r="E59" s="16">
        <v>248.239</v>
      </c>
      <c r="F59" s="16">
        <v>220.58799999999999</v>
      </c>
      <c r="G59" s="16">
        <v>190.214</v>
      </c>
      <c r="H59" s="59">
        <v>215.54471643023615</v>
      </c>
      <c r="I59" s="59">
        <v>197.65513810301883</v>
      </c>
      <c r="J59" s="59">
        <v>182.27608309796099</v>
      </c>
      <c r="K59" s="59">
        <v>170.47593913942697</v>
      </c>
      <c r="L59" s="59">
        <v>156.01312322935698</v>
      </c>
      <c r="M59" s="16"/>
      <c r="N59" s="15"/>
      <c r="O59" s="18"/>
      <c r="P59" s="18"/>
      <c r="R59" s="21">
        <v>2015</v>
      </c>
      <c r="S59" s="23">
        <v>0.78021355690896144</v>
      </c>
      <c r="T59" s="23">
        <v>0.85170889848372511</v>
      </c>
      <c r="U59" s="23">
        <v>0.8756037528349695</v>
      </c>
      <c r="V59" s="23">
        <v>0.89141295084048089</v>
      </c>
      <c r="W59" s="23">
        <v>0.90076965943621401</v>
      </c>
      <c r="X59" s="60">
        <v>0.90865555924614216</v>
      </c>
      <c r="Y59" s="60">
        <v>0.915979363834448</v>
      </c>
      <c r="Z59" s="60">
        <v>0.92074219075034158</v>
      </c>
      <c r="AA59" s="60">
        <v>0.92803253773699435</v>
      </c>
      <c r="AB59" s="60">
        <v>0.93223291828949262</v>
      </c>
      <c r="AC59" s="60">
        <f t="shared" si="64"/>
        <v>0.88142916799467752</v>
      </c>
      <c r="AD59" s="21"/>
      <c r="AE59" s="21"/>
      <c r="AF59" s="21"/>
      <c r="AH59" s="11">
        <v>2015</v>
      </c>
      <c r="AI59" s="13">
        <v>5.9591491704967838</v>
      </c>
      <c r="AJ59" s="13">
        <v>7.4130412085739144</v>
      </c>
      <c r="AK59" s="13">
        <v>7.5859246659979354</v>
      </c>
      <c r="AL59" s="13">
        <v>8.5386059402430714</v>
      </c>
      <c r="AM59" s="13">
        <v>9.5781547500317341</v>
      </c>
      <c r="AN59" s="13">
        <v>10.655240939152744</v>
      </c>
      <c r="AO59" s="66">
        <v>10.369220692111199</v>
      </c>
      <c r="AP59" s="66">
        <v>10.35416053866825</v>
      </c>
      <c r="AQ59" s="66">
        <v>9.9852961253622308</v>
      </c>
      <c r="AR59" s="66">
        <v>11.472817614624615</v>
      </c>
      <c r="AS59" s="66">
        <v>12.012644657542845</v>
      </c>
      <c r="AT59" s="66">
        <f t="shared" si="65"/>
        <v>8.3387805049908881</v>
      </c>
      <c r="AU59" s="13"/>
      <c r="AV59" s="13"/>
      <c r="AW59" s="11"/>
      <c r="AY59" s="36">
        <v>2015</v>
      </c>
      <c r="AZ59" s="37">
        <f t="shared" si="14"/>
        <v>2467.3440000000001</v>
      </c>
      <c r="BA59" s="37">
        <f t="shared" si="15"/>
        <v>2343.0769999999998</v>
      </c>
      <c r="BB59" s="37">
        <f t="shared" si="60"/>
        <v>2087.252</v>
      </c>
      <c r="BC59" s="37">
        <f t="shared" si="61"/>
        <v>2119.6149999999998</v>
      </c>
      <c r="BD59" s="37">
        <f t="shared" si="62"/>
        <v>2112.826</v>
      </c>
      <c r="BE59" s="37">
        <f t="shared" si="63"/>
        <v>2026.7760000000001</v>
      </c>
      <c r="BF59" s="37">
        <f t="shared" si="66"/>
        <v>2235.0307336836454</v>
      </c>
      <c r="BG59" s="37">
        <f t="shared" si="67"/>
        <v>2046.5530312113008</v>
      </c>
      <c r="BH59" s="37">
        <f t="shared" si="68"/>
        <v>1820.0806663042738</v>
      </c>
      <c r="BI59" s="37">
        <f t="shared" si="69"/>
        <v>1955.8393574284917</v>
      </c>
      <c r="BJ59" s="37">
        <f t="shared" si="70"/>
        <v>1874.1302112677085</v>
      </c>
      <c r="BK59" s="36">
        <f t="shared" si="16"/>
        <v>23088523.999895424</v>
      </c>
      <c r="BL59" s="36">
        <v>98548927</v>
      </c>
      <c r="BM59" s="38">
        <f t="shared" si="17"/>
        <v>121637450.99989542</v>
      </c>
      <c r="BN59" s="38">
        <v>121637450.99989542</v>
      </c>
      <c r="BO59" s="39">
        <f t="shared" si="18"/>
        <v>121637450.99989542</v>
      </c>
      <c r="BP59" s="39">
        <f t="shared" si="19"/>
        <v>121637450.99989542</v>
      </c>
      <c r="BQ59" s="39">
        <f t="shared" si="20"/>
        <v>121637450.99989542</v>
      </c>
      <c r="BR59" s="39"/>
      <c r="BS59" s="39"/>
      <c r="BT59" s="39"/>
      <c r="BU59" s="36"/>
      <c r="BV59" s="36"/>
      <c r="BX59" s="15">
        <v>2015</v>
      </c>
      <c r="BY59" s="16">
        <v>414.04300000000001</v>
      </c>
      <c r="BZ59" s="16">
        <v>316.07499999999999</v>
      </c>
      <c r="CA59" s="16">
        <v>275.14800000000002</v>
      </c>
      <c r="CB59" s="16">
        <v>248.239</v>
      </c>
      <c r="CC59" s="16">
        <v>220.58799999999999</v>
      </c>
      <c r="CD59" s="16">
        <v>190.214</v>
      </c>
      <c r="CE59" s="59">
        <v>215.54471643023615</v>
      </c>
      <c r="CF59" s="59">
        <v>197.65513810301883</v>
      </c>
      <c r="CG59" s="59">
        <v>182.27608309796099</v>
      </c>
      <c r="CH59" s="59">
        <v>170.47593913942697</v>
      </c>
      <c r="CI59" s="59">
        <v>156.01312322935698</v>
      </c>
      <c r="CK59" s="21">
        <v>2015</v>
      </c>
      <c r="CL59" s="24">
        <v>414.04300000000001</v>
      </c>
      <c r="CM59" s="24">
        <v>316.07499999999999</v>
      </c>
      <c r="CN59" s="24">
        <v>275.14800000000002</v>
      </c>
      <c r="CO59" s="24">
        <v>248.239</v>
      </c>
      <c r="CP59" s="24">
        <v>220.58799999999999</v>
      </c>
      <c r="CQ59" s="24">
        <v>190.214</v>
      </c>
      <c r="CR59" s="5">
        <v>215.54471643023615</v>
      </c>
      <c r="CS59" s="5">
        <v>197.65513810301883</v>
      </c>
      <c r="CT59" s="5">
        <v>182.27608309796099</v>
      </c>
      <c r="CU59" s="5">
        <v>170.47593913942697</v>
      </c>
      <c r="CV59" s="5">
        <v>156.01312322935698</v>
      </c>
      <c r="CX59" s="11">
        <v>2015</v>
      </c>
      <c r="CY59" s="13">
        <v>5.9591491704967838</v>
      </c>
      <c r="CZ59" s="13">
        <v>7.4130412085739144</v>
      </c>
      <c r="DA59" s="13">
        <v>7.5859246659979354</v>
      </c>
      <c r="DB59" s="13">
        <v>8.5386059402430714</v>
      </c>
      <c r="DC59" s="13">
        <v>9.5781547500317341</v>
      </c>
      <c r="DD59" s="13">
        <v>10.655240939152744</v>
      </c>
      <c r="DE59" s="66">
        <v>10.369220692111199</v>
      </c>
      <c r="DF59" s="66">
        <v>10.35416053866825</v>
      </c>
      <c r="DG59" s="66">
        <v>9.9852961253622308</v>
      </c>
      <c r="DH59" s="66">
        <v>11.472817614624615</v>
      </c>
      <c r="DI59" s="66">
        <v>12.012644657542845</v>
      </c>
      <c r="DK59" s="15">
        <v>2015</v>
      </c>
      <c r="DL59" s="16">
        <f t="shared" si="21"/>
        <v>2467.3440000000001</v>
      </c>
      <c r="DM59" s="16">
        <f t="shared" si="22"/>
        <v>2343.0769999999998</v>
      </c>
      <c r="DN59" s="16">
        <f t="shared" si="23"/>
        <v>2087.252</v>
      </c>
      <c r="DO59" s="16">
        <f t="shared" si="24"/>
        <v>2119.6149999999998</v>
      </c>
      <c r="DP59" s="16">
        <f t="shared" si="25"/>
        <v>2112.826</v>
      </c>
      <c r="DQ59" s="16">
        <f t="shared" si="26"/>
        <v>2026.7760000000001</v>
      </c>
      <c r="DR59" s="16">
        <f t="shared" si="27"/>
        <v>2235.0307336836454</v>
      </c>
      <c r="DS59" s="16">
        <f t="shared" si="28"/>
        <v>2046.5530312113008</v>
      </c>
      <c r="DT59" s="16">
        <f t="shared" si="29"/>
        <v>1820.0806663042738</v>
      </c>
      <c r="DU59" s="16">
        <f t="shared" si="30"/>
        <v>1955.8393574284917</v>
      </c>
      <c r="DV59" s="16">
        <f t="shared" si="31"/>
        <v>1874.1302112677085</v>
      </c>
      <c r="DW59" s="15">
        <f t="shared" si="32"/>
        <v>23088523.999895424</v>
      </c>
      <c r="DX59" s="15">
        <v>98548927</v>
      </c>
      <c r="DY59" s="15">
        <f t="shared" si="33"/>
        <v>121637450.99989542</v>
      </c>
      <c r="EA59" s="21">
        <v>2015</v>
      </c>
      <c r="EB59" s="24">
        <f t="shared" si="34"/>
        <v>2467.3440000000001</v>
      </c>
      <c r="EC59" s="24">
        <f t="shared" si="35"/>
        <v>2343.0769999999998</v>
      </c>
      <c r="ED59" s="24">
        <f t="shared" si="36"/>
        <v>2087.252</v>
      </c>
      <c r="EE59" s="24">
        <f t="shared" si="37"/>
        <v>2119.6149999999998</v>
      </c>
      <c r="EF59" s="24">
        <f t="shared" si="38"/>
        <v>2112.826</v>
      </c>
      <c r="EG59" s="24">
        <f t="shared" si="39"/>
        <v>2026.7760000000001</v>
      </c>
      <c r="EH59" s="24">
        <f t="shared" si="40"/>
        <v>2235.0307336836454</v>
      </c>
      <c r="EI59" s="24">
        <f t="shared" si="41"/>
        <v>2046.5530312113008</v>
      </c>
      <c r="EJ59" s="24">
        <f t="shared" si="42"/>
        <v>1820.0806663042738</v>
      </c>
      <c r="EK59" s="24">
        <f t="shared" si="43"/>
        <v>1955.8393574284917</v>
      </c>
      <c r="EL59" s="24">
        <f t="shared" si="44"/>
        <v>1874.1302112677085</v>
      </c>
      <c r="EM59" s="21">
        <f t="shared" si="45"/>
        <v>23088523.999895424</v>
      </c>
      <c r="EN59" s="21">
        <v>98548927</v>
      </c>
      <c r="EO59" s="21">
        <f t="shared" si="46"/>
        <v>121637450.99989542</v>
      </c>
      <c r="EQ59" s="11">
        <v>2015</v>
      </c>
      <c r="ER59" s="11">
        <f t="shared" si="47"/>
        <v>2467.3440000000001</v>
      </c>
      <c r="ES59" s="11">
        <f t="shared" si="48"/>
        <v>2343.0769999999998</v>
      </c>
      <c r="ET59" s="11">
        <f t="shared" si="49"/>
        <v>2087.252</v>
      </c>
      <c r="EU59" s="11">
        <f t="shared" si="50"/>
        <v>2119.6149999999998</v>
      </c>
      <c r="EV59" s="11">
        <f t="shared" si="51"/>
        <v>2112.826</v>
      </c>
      <c r="EW59" s="11">
        <f t="shared" si="52"/>
        <v>2026.7760000000001</v>
      </c>
      <c r="EX59" s="11">
        <f t="shared" si="53"/>
        <v>2235.0307336836454</v>
      </c>
      <c r="EY59" s="11">
        <f t="shared" si="54"/>
        <v>2046.5530312113008</v>
      </c>
      <c r="EZ59" s="11">
        <f t="shared" si="55"/>
        <v>1820.0806663042738</v>
      </c>
      <c r="FA59" s="11">
        <f t="shared" si="56"/>
        <v>1955.8393574284917</v>
      </c>
      <c r="FB59" s="11">
        <f t="shared" si="57"/>
        <v>1874.1302112677085</v>
      </c>
      <c r="FC59" s="11">
        <f t="shared" si="58"/>
        <v>23088523.999895424</v>
      </c>
      <c r="FD59" s="11">
        <v>98548927</v>
      </c>
      <c r="FE59" s="11">
        <f t="shared" si="59"/>
        <v>121637450.99989542</v>
      </c>
    </row>
    <row r="60" spans="1:161" x14ac:dyDescent="0.3">
      <c r="A60" s="15">
        <v>2016</v>
      </c>
      <c r="B60" s="16">
        <v>433.19200000000001</v>
      </c>
      <c r="C60" s="16">
        <v>322.87099999999998</v>
      </c>
      <c r="D60" s="16">
        <v>278.21899999999999</v>
      </c>
      <c r="E60" s="16">
        <v>247.05</v>
      </c>
      <c r="F60" s="16">
        <v>226.52600000000001</v>
      </c>
      <c r="G60" s="16">
        <v>203.131</v>
      </c>
      <c r="H60" s="59">
        <v>206.44803550259607</v>
      </c>
      <c r="I60" s="59">
        <v>189.1030165525697</v>
      </c>
      <c r="J60" s="59">
        <v>174.69643542660955</v>
      </c>
      <c r="K60" s="59">
        <v>161.87642947680433</v>
      </c>
      <c r="L60" s="59">
        <v>152.50308304142035</v>
      </c>
      <c r="M60" s="16"/>
      <c r="N60" s="15"/>
      <c r="O60" s="18"/>
      <c r="P60" s="18"/>
      <c r="R60" s="21">
        <v>2016</v>
      </c>
      <c r="S60" s="23">
        <v>0.77895196533600108</v>
      </c>
      <c r="T60" s="23">
        <v>0.85302944802475744</v>
      </c>
      <c r="U60" s="23">
        <v>0.8737543007488362</v>
      </c>
      <c r="V60" s="23">
        <v>0.89010091556819082</v>
      </c>
      <c r="W60" s="23">
        <v>0.90096046393706519</v>
      </c>
      <c r="X60" s="60">
        <v>0.90786905245672544</v>
      </c>
      <c r="Y60" s="60">
        <v>0.91519075887829104</v>
      </c>
      <c r="Z60" s="60">
        <v>0.92199058494468111</v>
      </c>
      <c r="AA60" s="60">
        <v>0.92641265741014667</v>
      </c>
      <c r="AB60" s="60">
        <v>0.93318141958493561</v>
      </c>
      <c r="AC60" s="60">
        <f t="shared" si="64"/>
        <v>0.88011139397837324</v>
      </c>
      <c r="AD60" s="21"/>
      <c r="AE60" s="21"/>
      <c r="AF60" s="21"/>
      <c r="AH60" s="11">
        <v>2016</v>
      </c>
      <c r="AI60" s="13">
        <v>5.9397449629725392</v>
      </c>
      <c r="AJ60" s="13">
        <v>7.3409225356256833</v>
      </c>
      <c r="AK60" s="13">
        <v>8.398664361528148</v>
      </c>
      <c r="AL60" s="13">
        <v>8.4346367132159479</v>
      </c>
      <c r="AM60" s="13">
        <v>9.2052832787406302</v>
      </c>
      <c r="AN60" s="13">
        <v>10.225248731114403</v>
      </c>
      <c r="AO60" s="66">
        <v>11.159744055049192</v>
      </c>
      <c r="AP60" s="66">
        <v>10.860181354423917</v>
      </c>
      <c r="AQ60" s="66">
        <v>10.844408134577192</v>
      </c>
      <c r="AR60" s="66">
        <v>10.458078771682619</v>
      </c>
      <c r="AS60" s="66">
        <v>12.016031256412992</v>
      </c>
      <c r="AT60" s="66">
        <f t="shared" si="65"/>
        <v>7.9854411219779902</v>
      </c>
      <c r="AU60" s="13"/>
      <c r="AV60" s="13"/>
      <c r="AW60" s="11"/>
      <c r="AY60" s="36">
        <v>2016</v>
      </c>
      <c r="AZ60" s="37">
        <f t="shared" si="14"/>
        <v>2573.0500000000002</v>
      </c>
      <c r="BA60" s="37">
        <f t="shared" si="15"/>
        <v>2370.1709999999998</v>
      </c>
      <c r="BB60" s="37">
        <f t="shared" si="60"/>
        <v>2336.6679999999997</v>
      </c>
      <c r="BC60" s="37">
        <f t="shared" si="61"/>
        <v>2083.777</v>
      </c>
      <c r="BD60" s="37">
        <f t="shared" si="62"/>
        <v>2085.2359999999999</v>
      </c>
      <c r="BE60" s="37">
        <f t="shared" si="63"/>
        <v>2077.0650000000001</v>
      </c>
      <c r="BF60" s="37">
        <f t="shared" si="66"/>
        <v>2303.9072368766811</v>
      </c>
      <c r="BG60" s="37">
        <f t="shared" si="67"/>
        <v>2053.6930544295346</v>
      </c>
      <c r="BH60" s="37">
        <f t="shared" si="68"/>
        <v>1894.4794454219636</v>
      </c>
      <c r="BI60" s="37">
        <f t="shared" si="69"/>
        <v>1692.916450747146</v>
      </c>
      <c r="BJ60" s="37">
        <f t="shared" si="70"/>
        <v>1832.4818125250531</v>
      </c>
      <c r="BK60" s="36">
        <f t="shared" si="16"/>
        <v>23303445.000000376</v>
      </c>
      <c r="BL60" s="36">
        <v>100927890</v>
      </c>
      <c r="BM60" s="38">
        <f t="shared" si="17"/>
        <v>124231335.00000037</v>
      </c>
      <c r="BN60" s="38">
        <v>124231335.00000037</v>
      </c>
      <c r="BO60" s="39">
        <f t="shared" si="18"/>
        <v>124231335.00000037</v>
      </c>
      <c r="BP60" s="39">
        <f t="shared" si="19"/>
        <v>124231335.00000037</v>
      </c>
      <c r="BQ60" s="39">
        <f t="shared" si="20"/>
        <v>124231335.00000037</v>
      </c>
      <c r="BR60" s="39"/>
      <c r="BS60" s="39"/>
      <c r="BT60" s="39"/>
      <c r="BU60" s="36"/>
      <c r="BV60" s="36"/>
      <c r="BX60" s="15">
        <v>2016</v>
      </c>
      <c r="BY60" s="16">
        <v>433.19200000000001</v>
      </c>
      <c r="BZ60" s="16">
        <v>322.87099999999998</v>
      </c>
      <c r="CA60" s="16">
        <v>278.21899999999999</v>
      </c>
      <c r="CB60" s="16">
        <v>247.05</v>
      </c>
      <c r="CC60" s="16">
        <v>226.52600000000001</v>
      </c>
      <c r="CD60" s="16">
        <v>203.131</v>
      </c>
      <c r="CE60" s="59">
        <v>206.44803550259607</v>
      </c>
      <c r="CF60" s="59">
        <v>189.1030165525697</v>
      </c>
      <c r="CG60" s="59">
        <v>174.69643542660955</v>
      </c>
      <c r="CH60" s="59">
        <v>161.87642947680433</v>
      </c>
      <c r="CI60" s="59">
        <v>152.50308304142035</v>
      </c>
      <c r="CK60" s="21">
        <v>2016</v>
      </c>
      <c r="CL60" s="24">
        <v>433.19200000000001</v>
      </c>
      <c r="CM60" s="24">
        <v>322.87099999999998</v>
      </c>
      <c r="CN60" s="24">
        <v>278.21899999999999</v>
      </c>
      <c r="CO60" s="24">
        <v>247.05</v>
      </c>
      <c r="CP60" s="24">
        <v>226.52600000000001</v>
      </c>
      <c r="CQ60" s="24">
        <v>203.131</v>
      </c>
      <c r="CR60" s="5">
        <v>206.44803550259607</v>
      </c>
      <c r="CS60" s="5">
        <v>189.1030165525697</v>
      </c>
      <c r="CT60" s="5">
        <v>174.69643542660955</v>
      </c>
      <c r="CU60" s="5">
        <v>161.87642947680433</v>
      </c>
      <c r="CV60" s="5">
        <v>152.50308304142035</v>
      </c>
      <c r="CX60" s="11">
        <v>2016</v>
      </c>
      <c r="CY60" s="13">
        <v>5.9397449629725392</v>
      </c>
      <c r="CZ60" s="13">
        <v>7.3409225356256833</v>
      </c>
      <c r="DA60" s="13">
        <v>8.398664361528148</v>
      </c>
      <c r="DB60" s="13">
        <v>8.4346367132159479</v>
      </c>
      <c r="DC60" s="13">
        <v>9.2052832787406302</v>
      </c>
      <c r="DD60" s="13">
        <v>10.225248731114403</v>
      </c>
      <c r="DE60" s="66">
        <v>11.159744055049192</v>
      </c>
      <c r="DF60" s="66">
        <v>10.860181354423917</v>
      </c>
      <c r="DG60" s="66">
        <v>10.844408134577192</v>
      </c>
      <c r="DH60" s="66">
        <v>10.458078771682619</v>
      </c>
      <c r="DI60" s="66">
        <v>12.016031256412992</v>
      </c>
      <c r="DK60" s="15">
        <v>2016</v>
      </c>
      <c r="DL60" s="16">
        <f t="shared" si="21"/>
        <v>2573.0500000000002</v>
      </c>
      <c r="DM60" s="16">
        <f t="shared" si="22"/>
        <v>2370.1709999999998</v>
      </c>
      <c r="DN60" s="16">
        <f t="shared" si="23"/>
        <v>2336.6679999999997</v>
      </c>
      <c r="DO60" s="16">
        <f t="shared" si="24"/>
        <v>2083.777</v>
      </c>
      <c r="DP60" s="16">
        <f t="shared" si="25"/>
        <v>2085.2359999999999</v>
      </c>
      <c r="DQ60" s="16">
        <f t="shared" si="26"/>
        <v>2077.0650000000001</v>
      </c>
      <c r="DR60" s="16">
        <f t="shared" si="27"/>
        <v>2303.9072368766811</v>
      </c>
      <c r="DS60" s="16">
        <f t="shared" si="28"/>
        <v>2053.6930544295346</v>
      </c>
      <c r="DT60" s="16">
        <f t="shared" si="29"/>
        <v>1894.4794454219636</v>
      </c>
      <c r="DU60" s="16">
        <f t="shared" si="30"/>
        <v>1692.916450747146</v>
      </c>
      <c r="DV60" s="16">
        <f t="shared" si="31"/>
        <v>1832.4818125250531</v>
      </c>
      <c r="DW60" s="15">
        <f t="shared" si="32"/>
        <v>23303445.000000376</v>
      </c>
      <c r="DX60" s="15">
        <v>100927890</v>
      </c>
      <c r="DY60" s="15">
        <f t="shared" si="33"/>
        <v>124231335.00000037</v>
      </c>
      <c r="EA60" s="21">
        <v>2016</v>
      </c>
      <c r="EB60" s="24">
        <f t="shared" si="34"/>
        <v>2573.0500000000002</v>
      </c>
      <c r="EC60" s="24">
        <f t="shared" si="35"/>
        <v>2370.1709999999998</v>
      </c>
      <c r="ED60" s="24">
        <f t="shared" si="36"/>
        <v>2336.6679999999997</v>
      </c>
      <c r="EE60" s="24">
        <f t="shared" si="37"/>
        <v>2083.777</v>
      </c>
      <c r="EF60" s="24">
        <f t="shared" si="38"/>
        <v>2085.2359999999999</v>
      </c>
      <c r="EG60" s="24">
        <f t="shared" si="39"/>
        <v>2077.0650000000001</v>
      </c>
      <c r="EH60" s="24">
        <f t="shared" si="40"/>
        <v>2303.9072368766811</v>
      </c>
      <c r="EI60" s="24">
        <f t="shared" si="41"/>
        <v>2053.6930544295346</v>
      </c>
      <c r="EJ60" s="24">
        <f t="shared" si="42"/>
        <v>1894.4794454219636</v>
      </c>
      <c r="EK60" s="24">
        <f t="shared" si="43"/>
        <v>1692.916450747146</v>
      </c>
      <c r="EL60" s="24">
        <f t="shared" si="44"/>
        <v>1832.4818125250531</v>
      </c>
      <c r="EM60" s="21">
        <f t="shared" si="45"/>
        <v>23303445.000000376</v>
      </c>
      <c r="EN60" s="21">
        <v>100927890</v>
      </c>
      <c r="EO60" s="21">
        <f t="shared" si="46"/>
        <v>124231335.00000037</v>
      </c>
      <c r="EQ60" s="11">
        <v>2016</v>
      </c>
      <c r="ER60" s="11">
        <f t="shared" si="47"/>
        <v>2573.0500000000002</v>
      </c>
      <c r="ES60" s="11">
        <f t="shared" si="48"/>
        <v>2370.1709999999998</v>
      </c>
      <c r="ET60" s="11">
        <f t="shared" si="49"/>
        <v>2336.6679999999997</v>
      </c>
      <c r="EU60" s="11">
        <f t="shared" si="50"/>
        <v>2083.777</v>
      </c>
      <c r="EV60" s="11">
        <f t="shared" si="51"/>
        <v>2085.2359999999999</v>
      </c>
      <c r="EW60" s="11">
        <f t="shared" si="52"/>
        <v>2077.0650000000001</v>
      </c>
      <c r="EX60" s="11">
        <f t="shared" si="53"/>
        <v>2303.9072368766811</v>
      </c>
      <c r="EY60" s="11">
        <f t="shared" si="54"/>
        <v>2053.6930544295346</v>
      </c>
      <c r="EZ60" s="11">
        <f t="shared" si="55"/>
        <v>1894.4794454219636</v>
      </c>
      <c r="FA60" s="11">
        <f t="shared" si="56"/>
        <v>1692.916450747146</v>
      </c>
      <c r="FB60" s="11">
        <f t="shared" si="57"/>
        <v>1832.4818125250531</v>
      </c>
      <c r="FC60" s="11">
        <f t="shared" si="58"/>
        <v>23303445.000000376</v>
      </c>
      <c r="FD60" s="11">
        <v>100927890</v>
      </c>
      <c r="FE60" s="11">
        <f t="shared" si="59"/>
        <v>124231335.00000037</v>
      </c>
    </row>
    <row r="61" spans="1:161" x14ac:dyDescent="0.3">
      <c r="A61" s="15">
        <v>2017</v>
      </c>
      <c r="B61" s="16">
        <f t="shared" ref="B61:L61" si="71">(B$60+1/3*(B$18-B$60))</f>
        <v>448.59708333333333</v>
      </c>
      <c r="C61" s="16">
        <f t="shared" si="71"/>
        <v>337.91296581196582</v>
      </c>
      <c r="D61" s="16">
        <f t="shared" si="71"/>
        <v>290.20914912280699</v>
      </c>
      <c r="E61" s="16">
        <f t="shared" si="71"/>
        <v>256.71520720720719</v>
      </c>
      <c r="F61" s="16">
        <f t="shared" si="71"/>
        <v>233.30634259259259</v>
      </c>
      <c r="G61" s="16">
        <f t="shared" si="71"/>
        <v>209.99337142857144</v>
      </c>
      <c r="H61" s="59">
        <f t="shared" si="71"/>
        <v>208.44364286070822</v>
      </c>
      <c r="I61" s="59">
        <f t="shared" si="71"/>
        <v>190.63760927949338</v>
      </c>
      <c r="J61" s="59">
        <f t="shared" si="71"/>
        <v>175.71592364062195</v>
      </c>
      <c r="K61" s="59">
        <f t="shared" si="71"/>
        <v>162.57132406790237</v>
      </c>
      <c r="L61" s="59">
        <f t="shared" si="71"/>
        <v>152.37375656153048</v>
      </c>
      <c r="M61" s="16"/>
      <c r="N61" s="15"/>
      <c r="O61" s="56"/>
      <c r="P61" s="56"/>
      <c r="R61" s="21">
        <v>2017</v>
      </c>
      <c r="S61" s="23">
        <f t="shared" ref="S61:AC61" si="72">S$60+1/3*(S$18-S$60)</f>
        <v>0.77976974135950461</v>
      </c>
      <c r="T61" s="23">
        <f t="shared" si="72"/>
        <v>0.84935958734198391</v>
      </c>
      <c r="U61" s="23">
        <f t="shared" si="72"/>
        <v>0.87122072733109579</v>
      </c>
      <c r="V61" s="23">
        <f t="shared" si="72"/>
        <v>0.88795038409288662</v>
      </c>
      <c r="W61" s="23">
        <f t="shared" si="72"/>
        <v>0.89915366625642912</v>
      </c>
      <c r="X61" s="60">
        <f t="shared" si="72"/>
        <v>0.90652906287501744</v>
      </c>
      <c r="Y61" s="60">
        <f t="shared" si="72"/>
        <v>0.91417696595518905</v>
      </c>
      <c r="Z61" s="60">
        <f t="shared" si="72"/>
        <v>0.92106483880852508</v>
      </c>
      <c r="AA61" s="60">
        <f t="shared" si="72"/>
        <v>0.92606621852702031</v>
      </c>
      <c r="AB61" s="60">
        <f t="shared" si="72"/>
        <v>0.9324780627861603</v>
      </c>
      <c r="AC61" s="60">
        <f t="shared" si="72"/>
        <v>0.87801753621278322</v>
      </c>
      <c r="AD61" s="21"/>
      <c r="AE61" s="21"/>
      <c r="AF61" s="21"/>
      <c r="AH61" s="11">
        <v>2017</v>
      </c>
      <c r="AI61" s="13">
        <f>AI$60+1/3*(AI$18-AI$60)</f>
        <v>5.9753286648714417</v>
      </c>
      <c r="AJ61" s="13">
        <f t="shared" ref="AJ61:AS61" si="73">AJ$60+1/3*(AJ$18-AJ$60)</f>
        <v>7.4759766395834841</v>
      </c>
      <c r="AK61" s="13">
        <f t="shared" si="73"/>
        <v>8.4093638258103454</v>
      </c>
      <c r="AL61" s="13">
        <f t="shared" si="73"/>
        <v>8.6578746507200961</v>
      </c>
      <c r="AM61" s="13">
        <f t="shared" si="73"/>
        <v>9.3892261468466938</v>
      </c>
      <c r="AN61" s="13">
        <f t="shared" si="73"/>
        <v>10.272972369023831</v>
      </c>
      <c r="AO61" s="66">
        <f t="shared" si="73"/>
        <v>11.028983548552555</v>
      </c>
      <c r="AP61" s="66">
        <f t="shared" si="73"/>
        <v>10.994515887129261</v>
      </c>
      <c r="AQ61" s="66">
        <f t="shared" si="73"/>
        <v>11.177091229945498</v>
      </c>
      <c r="AR61" s="66">
        <f t="shared" si="73"/>
        <v>11.115230626839576</v>
      </c>
      <c r="AS61" s="66">
        <f t="shared" si="73"/>
        <v>12.37379805085348</v>
      </c>
      <c r="AT61" s="66">
        <f t="shared" si="65"/>
        <v>7.6956146242962378</v>
      </c>
      <c r="AU61" s="13"/>
      <c r="AV61" s="13"/>
      <c r="AW61" s="11"/>
      <c r="AY61" s="36">
        <v>2017</v>
      </c>
      <c r="AZ61" s="37">
        <f t="shared" si="14"/>
        <v>2680.5150110193895</v>
      </c>
      <c r="BA61" s="37">
        <f t="shared" si="15"/>
        <v>2526.229438622629</v>
      </c>
      <c r="BB61" s="37">
        <f t="shared" si="60"/>
        <v>2440.4743205525333</v>
      </c>
      <c r="BC61" s="37">
        <f t="shared" si="61"/>
        <v>2222.6080849336358</v>
      </c>
      <c r="BD61" s="37">
        <f t="shared" si="62"/>
        <v>2190.5660120955426</v>
      </c>
      <c r="BE61" s="37">
        <f t="shared" si="63"/>
        <v>2157.2561023638727</v>
      </c>
      <c r="BF61" s="37">
        <f t="shared" si="66"/>
        <v>2298.921507911115</v>
      </c>
      <c r="BG61" s="37">
        <f t="shared" si="67"/>
        <v>2095.9682239077306</v>
      </c>
      <c r="BH61" s="37">
        <f t="shared" si="68"/>
        <v>1963.9929090853684</v>
      </c>
      <c r="BI61" s="37">
        <f t="shared" si="69"/>
        <v>1807.0177603254103</v>
      </c>
      <c r="BJ61" s="37">
        <f t="shared" si="70"/>
        <v>1885.4420919422887</v>
      </c>
      <c r="BK61" s="36">
        <f t="shared" si="16"/>
        <v>24268991.462759517</v>
      </c>
      <c r="BL61" s="40">
        <f t="shared" ref="BL61:BL74" si="74">$BT$21+$BT$22*BS31</f>
        <v>102978400</v>
      </c>
      <c r="BM61" s="38">
        <f t="shared" si="17"/>
        <v>127247391.46275952</v>
      </c>
      <c r="BN61" s="38">
        <v>127247391.46275952</v>
      </c>
      <c r="BO61" s="39">
        <f t="shared" si="18"/>
        <v>127247391.46275952</v>
      </c>
      <c r="BP61" s="39">
        <f t="shared" si="19"/>
        <v>127247391.46275952</v>
      </c>
      <c r="BQ61" s="39">
        <f t="shared" si="20"/>
        <v>127247391.46275952</v>
      </c>
      <c r="BR61" s="39"/>
      <c r="BS61" s="39"/>
      <c r="BT61" s="39" t="s">
        <v>37</v>
      </c>
      <c r="BU61" s="36"/>
      <c r="BV61" s="36"/>
      <c r="BX61" s="15">
        <v>2017</v>
      </c>
      <c r="BY61" s="16">
        <f t="shared" ref="BY61:CI61" si="75">(BY$60+1/3*(BY$18-BY$60))</f>
        <v>448.59708333333333</v>
      </c>
      <c r="BZ61" s="16">
        <f t="shared" si="75"/>
        <v>337.91296581196582</v>
      </c>
      <c r="CA61" s="16">
        <f t="shared" si="75"/>
        <v>290.20914912280699</v>
      </c>
      <c r="CB61" s="16">
        <f t="shared" si="75"/>
        <v>256.71520720720719</v>
      </c>
      <c r="CC61" s="16">
        <f t="shared" si="75"/>
        <v>233.30634259259259</v>
      </c>
      <c r="CD61" s="16">
        <f t="shared" si="75"/>
        <v>209.99337142857144</v>
      </c>
      <c r="CE61" s="59">
        <f t="shared" si="75"/>
        <v>208.44364286070822</v>
      </c>
      <c r="CF61" s="59">
        <f t="shared" si="75"/>
        <v>190.63760927949338</v>
      </c>
      <c r="CG61" s="59">
        <f t="shared" si="75"/>
        <v>175.71592364062195</v>
      </c>
      <c r="CH61" s="59">
        <f t="shared" si="75"/>
        <v>162.57132406790237</v>
      </c>
      <c r="CI61" s="59">
        <f t="shared" si="75"/>
        <v>152.37375656153048</v>
      </c>
      <c r="CK61" s="21">
        <v>2017</v>
      </c>
      <c r="CL61" s="24">
        <f t="shared" ref="CL61:CV61" si="76">(CL$60+1/3*(CL$18-CL$60))</f>
        <v>448.59708333333333</v>
      </c>
      <c r="CM61" s="24">
        <f t="shared" si="76"/>
        <v>337.91296581196582</v>
      </c>
      <c r="CN61" s="24">
        <f t="shared" si="76"/>
        <v>290.20914912280699</v>
      </c>
      <c r="CO61" s="24">
        <f t="shared" si="76"/>
        <v>256.71520720720719</v>
      </c>
      <c r="CP61" s="24">
        <f t="shared" si="76"/>
        <v>233.30634259259259</v>
      </c>
      <c r="CQ61" s="24">
        <f t="shared" si="76"/>
        <v>209.99337142857144</v>
      </c>
      <c r="CR61" s="5">
        <f t="shared" si="76"/>
        <v>208.44364286070822</v>
      </c>
      <c r="CS61" s="5">
        <f t="shared" si="76"/>
        <v>190.63760927949338</v>
      </c>
      <c r="CT61" s="5">
        <f t="shared" si="76"/>
        <v>175.71592364062195</v>
      </c>
      <c r="CU61" s="5">
        <f t="shared" si="76"/>
        <v>162.57132406790237</v>
      </c>
      <c r="CV61" s="5">
        <f t="shared" si="76"/>
        <v>152.37375656153048</v>
      </c>
      <c r="CX61" s="11">
        <v>2017</v>
      </c>
      <c r="CY61" s="13">
        <f>CY$60+1/3*(CY$18-CY$60)</f>
        <v>5.9753286648714417</v>
      </c>
      <c r="CZ61" s="13">
        <f t="shared" ref="CZ61:DI61" si="77">CZ$60+1/3*(CZ$18-CZ$60)</f>
        <v>7.4759766395834841</v>
      </c>
      <c r="DA61" s="13">
        <f t="shared" si="77"/>
        <v>8.4093638258103454</v>
      </c>
      <c r="DB61" s="13">
        <f t="shared" si="77"/>
        <v>8.6578746507200961</v>
      </c>
      <c r="DC61" s="13">
        <f t="shared" si="77"/>
        <v>9.3892261468466938</v>
      </c>
      <c r="DD61" s="13">
        <f t="shared" si="77"/>
        <v>10.272972369023831</v>
      </c>
      <c r="DE61" s="66">
        <f t="shared" si="77"/>
        <v>11.028983548552555</v>
      </c>
      <c r="DF61" s="66">
        <f t="shared" si="77"/>
        <v>10.994515887129261</v>
      </c>
      <c r="DG61" s="66">
        <f t="shared" si="77"/>
        <v>11.177091229945498</v>
      </c>
      <c r="DH61" s="66">
        <f t="shared" si="77"/>
        <v>11.115230626839576</v>
      </c>
      <c r="DI61" s="66">
        <f t="shared" si="77"/>
        <v>12.37379805085348</v>
      </c>
      <c r="DK61" s="15">
        <v>2017</v>
      </c>
      <c r="DL61" s="16">
        <f t="shared" si="21"/>
        <v>2680.5150110193895</v>
      </c>
      <c r="DM61" s="16">
        <f t="shared" si="22"/>
        <v>2526.229438622629</v>
      </c>
      <c r="DN61" s="16">
        <f t="shared" si="23"/>
        <v>2440.4743205525333</v>
      </c>
      <c r="DO61" s="16">
        <f t="shared" si="24"/>
        <v>2222.6080849336358</v>
      </c>
      <c r="DP61" s="16">
        <f t="shared" si="25"/>
        <v>2190.5660120955426</v>
      </c>
      <c r="DQ61" s="16">
        <f t="shared" si="26"/>
        <v>2157.2561023638727</v>
      </c>
      <c r="DR61" s="16">
        <f t="shared" si="27"/>
        <v>2298.921507911115</v>
      </c>
      <c r="DS61" s="16">
        <f t="shared" si="28"/>
        <v>2095.9682239077306</v>
      </c>
      <c r="DT61" s="16">
        <f t="shared" si="29"/>
        <v>1963.9929090853684</v>
      </c>
      <c r="DU61" s="16">
        <f t="shared" si="30"/>
        <v>1807.0177603254103</v>
      </c>
      <c r="DV61" s="16">
        <f t="shared" si="31"/>
        <v>1885.4420919422887</v>
      </c>
      <c r="DW61" s="15">
        <f t="shared" si="32"/>
        <v>24268991.462759517</v>
      </c>
      <c r="DX61" s="15">
        <v>102978400</v>
      </c>
      <c r="DY61" s="15">
        <f t="shared" si="33"/>
        <v>127247391.46275952</v>
      </c>
      <c r="EA61" s="21">
        <v>2017</v>
      </c>
      <c r="EB61" s="24">
        <f t="shared" si="34"/>
        <v>2680.5150110193895</v>
      </c>
      <c r="EC61" s="24">
        <f t="shared" si="35"/>
        <v>2526.229438622629</v>
      </c>
      <c r="ED61" s="24">
        <f t="shared" si="36"/>
        <v>2440.4743205525333</v>
      </c>
      <c r="EE61" s="24">
        <f t="shared" si="37"/>
        <v>2222.6080849336358</v>
      </c>
      <c r="EF61" s="24">
        <f t="shared" si="38"/>
        <v>2190.5660120955426</v>
      </c>
      <c r="EG61" s="24">
        <f t="shared" si="39"/>
        <v>2157.2561023638727</v>
      </c>
      <c r="EH61" s="24">
        <f t="shared" si="40"/>
        <v>2298.921507911115</v>
      </c>
      <c r="EI61" s="24">
        <f t="shared" si="41"/>
        <v>2095.9682239077306</v>
      </c>
      <c r="EJ61" s="24">
        <f t="shared" si="42"/>
        <v>1963.9929090853684</v>
      </c>
      <c r="EK61" s="24">
        <f t="shared" si="43"/>
        <v>1807.0177603254103</v>
      </c>
      <c r="EL61" s="24">
        <f t="shared" si="44"/>
        <v>1885.4420919422887</v>
      </c>
      <c r="EM61" s="21">
        <f t="shared" si="45"/>
        <v>24268991.462759517</v>
      </c>
      <c r="EN61" s="21">
        <v>102978400</v>
      </c>
      <c r="EO61" s="21">
        <f t="shared" si="46"/>
        <v>127247391.46275952</v>
      </c>
      <c r="EQ61" s="11">
        <v>2017</v>
      </c>
      <c r="ER61" s="11">
        <f t="shared" si="47"/>
        <v>2680.5150110193895</v>
      </c>
      <c r="ES61" s="11">
        <f t="shared" si="48"/>
        <v>2526.229438622629</v>
      </c>
      <c r="ET61" s="11">
        <f t="shared" si="49"/>
        <v>2440.4743205525333</v>
      </c>
      <c r="EU61" s="11">
        <f t="shared" si="50"/>
        <v>2222.6080849336358</v>
      </c>
      <c r="EV61" s="11">
        <f t="shared" si="51"/>
        <v>2190.5660120955426</v>
      </c>
      <c r="EW61" s="11">
        <f t="shared" si="52"/>
        <v>2157.2561023638727</v>
      </c>
      <c r="EX61" s="11">
        <f t="shared" si="53"/>
        <v>2298.921507911115</v>
      </c>
      <c r="EY61" s="11">
        <f t="shared" si="54"/>
        <v>2095.9682239077306</v>
      </c>
      <c r="EZ61" s="11">
        <f t="shared" si="55"/>
        <v>1963.9929090853684</v>
      </c>
      <c r="FA61" s="11">
        <f t="shared" si="56"/>
        <v>1807.0177603254103</v>
      </c>
      <c r="FB61" s="11">
        <f t="shared" si="57"/>
        <v>1885.4420919422887</v>
      </c>
      <c r="FC61" s="11">
        <f t="shared" si="58"/>
        <v>24268991.462759517</v>
      </c>
      <c r="FD61" s="11">
        <v>102978400</v>
      </c>
      <c r="FE61" s="11">
        <f t="shared" si="59"/>
        <v>127247391.46275952</v>
      </c>
    </row>
    <row r="62" spans="1:161" x14ac:dyDescent="0.3">
      <c r="A62" s="15">
        <v>2018</v>
      </c>
      <c r="B62" s="16">
        <f t="shared" ref="B62:L62" si="78">(B$60+2/3*(B$18-B$60))</f>
        <v>464.00216666666671</v>
      </c>
      <c r="C62" s="16">
        <f t="shared" si="78"/>
        <v>352.9549316239316</v>
      </c>
      <c r="D62" s="16">
        <f t="shared" si="78"/>
        <v>302.19929824561399</v>
      </c>
      <c r="E62" s="16">
        <f t="shared" si="78"/>
        <v>266.38041441441442</v>
      </c>
      <c r="F62" s="16">
        <f t="shared" si="78"/>
        <v>240.08668518518519</v>
      </c>
      <c r="G62" s="16">
        <f t="shared" si="78"/>
        <v>216.85574285714287</v>
      </c>
      <c r="H62" s="59">
        <f t="shared" si="78"/>
        <v>210.4392502188204</v>
      </c>
      <c r="I62" s="59">
        <f t="shared" si="78"/>
        <v>192.17220200641708</v>
      </c>
      <c r="J62" s="59">
        <f t="shared" si="78"/>
        <v>176.73541185463432</v>
      </c>
      <c r="K62" s="59">
        <f t="shared" si="78"/>
        <v>163.26621865900043</v>
      </c>
      <c r="L62" s="59">
        <f t="shared" si="78"/>
        <v>152.24443008164064</v>
      </c>
      <c r="M62" s="16"/>
      <c r="N62" s="15"/>
      <c r="O62" s="56"/>
      <c r="P62" s="56"/>
      <c r="R62" s="21">
        <v>2018</v>
      </c>
      <c r="S62" s="23">
        <f t="shared" ref="S62:AC62" si="79">S$60+2/3*(S$18-S$60)</f>
        <v>0.78058751738300802</v>
      </c>
      <c r="T62" s="23">
        <f t="shared" si="79"/>
        <v>0.84568972665921027</v>
      </c>
      <c r="U62" s="23">
        <f t="shared" si="79"/>
        <v>0.86868715391335527</v>
      </c>
      <c r="V62" s="23">
        <f t="shared" si="79"/>
        <v>0.88579985261758232</v>
      </c>
      <c r="W62" s="23">
        <f t="shared" si="79"/>
        <v>0.89734686857579293</v>
      </c>
      <c r="X62" s="60">
        <f t="shared" si="79"/>
        <v>0.90518907329330944</v>
      </c>
      <c r="Y62" s="60">
        <f t="shared" si="79"/>
        <v>0.91316317303208694</v>
      </c>
      <c r="Z62" s="60">
        <f t="shared" si="79"/>
        <v>0.92013909267236904</v>
      </c>
      <c r="AA62" s="60">
        <f t="shared" si="79"/>
        <v>0.92571977964389407</v>
      </c>
      <c r="AB62" s="60">
        <f t="shared" si="79"/>
        <v>0.93177470598738488</v>
      </c>
      <c r="AC62" s="60">
        <f t="shared" si="79"/>
        <v>0.87592367844719321</v>
      </c>
      <c r="AD62" s="21"/>
      <c r="AE62" s="21"/>
      <c r="AF62" s="21"/>
      <c r="AH62" s="11">
        <v>2018</v>
      </c>
      <c r="AI62" s="13">
        <f>AI$60+2/3*(AI$18-AI$60)</f>
        <v>6.0109123667703432</v>
      </c>
      <c r="AJ62" s="13">
        <f t="shared" ref="AJ62:AS62" si="80">AJ$60+2/3*(AJ$18-AJ$60)</f>
        <v>7.6110307435412841</v>
      </c>
      <c r="AK62" s="13">
        <f t="shared" si="80"/>
        <v>8.4200632900925445</v>
      </c>
      <c r="AL62" s="13">
        <f t="shared" si="80"/>
        <v>8.8811125882242425</v>
      </c>
      <c r="AM62" s="13">
        <f t="shared" si="80"/>
        <v>9.5731690149527555</v>
      </c>
      <c r="AN62" s="13">
        <f t="shared" si="80"/>
        <v>10.320696006933261</v>
      </c>
      <c r="AO62" s="66">
        <f t="shared" si="80"/>
        <v>10.898223042055916</v>
      </c>
      <c r="AP62" s="66">
        <f t="shared" si="80"/>
        <v>11.128850419834604</v>
      </c>
      <c r="AQ62" s="66">
        <f t="shared" si="80"/>
        <v>11.509774325313803</v>
      </c>
      <c r="AR62" s="66">
        <f t="shared" si="80"/>
        <v>11.772382481996535</v>
      </c>
      <c r="AS62" s="66">
        <f t="shared" si="80"/>
        <v>12.731564845293967</v>
      </c>
      <c r="AT62" s="66">
        <f t="shared" si="65"/>
        <v>7.6868536070433819</v>
      </c>
      <c r="AU62" s="13"/>
      <c r="AV62" s="13"/>
      <c r="AW62" s="11"/>
      <c r="AY62" s="36">
        <v>2018</v>
      </c>
      <c r="AZ62" s="37">
        <f t="shared" si="14"/>
        <v>2789.0763618249007</v>
      </c>
      <c r="BA62" s="37">
        <f t="shared" si="15"/>
        <v>2686.350835674255</v>
      </c>
      <c r="BB62" s="37">
        <f t="shared" si="60"/>
        <v>2544.5372174496229</v>
      </c>
      <c r="BC62" s="37">
        <f t="shared" si="61"/>
        <v>2365.7544517122465</v>
      </c>
      <c r="BD62" s="37">
        <f t="shared" si="62"/>
        <v>2298.3904155175314</v>
      </c>
      <c r="BE62" s="37">
        <f t="shared" si="63"/>
        <v>2238.1021993862605</v>
      </c>
      <c r="BF62" s="37">
        <f t="shared" si="66"/>
        <v>2293.4138856877189</v>
      </c>
      <c r="BG62" s="37">
        <f t="shared" si="67"/>
        <v>2138.655690979655</v>
      </c>
      <c r="BH62" s="37">
        <f t="shared" si="68"/>
        <v>2034.1847057382308</v>
      </c>
      <c r="BI62" s="37">
        <f t="shared" si="69"/>
        <v>1922.0323724430325</v>
      </c>
      <c r="BJ62" s="37">
        <f t="shared" si="70"/>
        <v>1938.3098339192313</v>
      </c>
      <c r="BK62" s="36">
        <f t="shared" si="16"/>
        <v>25248807.970332682</v>
      </c>
      <c r="BL62" s="40">
        <f t="shared" si="74"/>
        <v>105133700</v>
      </c>
      <c r="BM62" s="38">
        <f t="shared" si="17"/>
        <v>130382507.97033268</v>
      </c>
      <c r="BN62" s="38">
        <v>130382507.97033268</v>
      </c>
      <c r="BO62" s="39">
        <f t="shared" si="18"/>
        <v>130382507.97033268</v>
      </c>
      <c r="BP62" s="39">
        <f t="shared" si="19"/>
        <v>130382507.97033268</v>
      </c>
      <c r="BQ62" s="39">
        <f t="shared" si="20"/>
        <v>130382507.97033268</v>
      </c>
      <c r="BR62" s="39" t="s">
        <v>29</v>
      </c>
      <c r="BS62" s="41" t="s">
        <v>30</v>
      </c>
      <c r="BT62" s="39" t="s">
        <v>1</v>
      </c>
      <c r="BU62" s="39" t="s">
        <v>47</v>
      </c>
      <c r="BV62" s="39" t="s">
        <v>19</v>
      </c>
      <c r="BW62" s="2"/>
      <c r="BX62" s="15">
        <v>2018</v>
      </c>
      <c r="BY62" s="16">
        <f t="shared" ref="BY62:CI62" si="81">(BY$60+2/3*(BY$18-BY$60))</f>
        <v>464.00216666666671</v>
      </c>
      <c r="BZ62" s="16">
        <f t="shared" si="81"/>
        <v>352.9549316239316</v>
      </c>
      <c r="CA62" s="16">
        <f t="shared" si="81"/>
        <v>302.19929824561399</v>
      </c>
      <c r="CB62" s="16">
        <f t="shared" si="81"/>
        <v>266.38041441441442</v>
      </c>
      <c r="CC62" s="16">
        <f t="shared" si="81"/>
        <v>240.08668518518519</v>
      </c>
      <c r="CD62" s="16">
        <f t="shared" si="81"/>
        <v>216.85574285714287</v>
      </c>
      <c r="CE62" s="59">
        <f t="shared" si="81"/>
        <v>210.4392502188204</v>
      </c>
      <c r="CF62" s="59">
        <f t="shared" si="81"/>
        <v>192.17220200641708</v>
      </c>
      <c r="CG62" s="59">
        <f t="shared" si="81"/>
        <v>176.73541185463432</v>
      </c>
      <c r="CH62" s="59">
        <f t="shared" si="81"/>
        <v>163.26621865900043</v>
      </c>
      <c r="CI62" s="59">
        <f t="shared" si="81"/>
        <v>152.24443008164064</v>
      </c>
      <c r="CK62" s="21">
        <v>2018</v>
      </c>
      <c r="CL62" s="24">
        <f t="shared" ref="CL62:CV62" si="82">(CL$60+2/3*(CL$18-CL$60))</f>
        <v>464.00216666666671</v>
      </c>
      <c r="CM62" s="24">
        <f t="shared" si="82"/>
        <v>352.9549316239316</v>
      </c>
      <c r="CN62" s="24">
        <f t="shared" si="82"/>
        <v>302.19929824561399</v>
      </c>
      <c r="CO62" s="24">
        <f t="shared" si="82"/>
        <v>266.38041441441442</v>
      </c>
      <c r="CP62" s="24">
        <f t="shared" si="82"/>
        <v>240.08668518518519</v>
      </c>
      <c r="CQ62" s="24">
        <f t="shared" si="82"/>
        <v>216.85574285714287</v>
      </c>
      <c r="CR62" s="5">
        <f t="shared" si="82"/>
        <v>210.4392502188204</v>
      </c>
      <c r="CS62" s="5">
        <f t="shared" si="82"/>
        <v>192.17220200641708</v>
      </c>
      <c r="CT62" s="5">
        <f t="shared" si="82"/>
        <v>176.73541185463432</v>
      </c>
      <c r="CU62" s="5">
        <f t="shared" si="82"/>
        <v>163.26621865900043</v>
      </c>
      <c r="CV62" s="5">
        <f t="shared" si="82"/>
        <v>152.24443008164064</v>
      </c>
      <c r="CX62" s="11">
        <v>2018</v>
      </c>
      <c r="CY62" s="13">
        <f>CY$60+2/3*(CY$18-CY$60)</f>
        <v>6.0109123667703432</v>
      </c>
      <c r="CZ62" s="13">
        <f t="shared" ref="CZ62:DI62" si="83">CZ$60+2/3*(CZ$18-CZ$60)</f>
        <v>7.6110307435412841</v>
      </c>
      <c r="DA62" s="13">
        <f t="shared" si="83"/>
        <v>8.4200632900925445</v>
      </c>
      <c r="DB62" s="13">
        <f t="shared" si="83"/>
        <v>8.8811125882242425</v>
      </c>
      <c r="DC62" s="13">
        <f t="shared" si="83"/>
        <v>9.5731690149527555</v>
      </c>
      <c r="DD62" s="13">
        <f t="shared" si="83"/>
        <v>10.320696006933261</v>
      </c>
      <c r="DE62" s="66">
        <f t="shared" si="83"/>
        <v>10.898223042055916</v>
      </c>
      <c r="DF62" s="66">
        <f t="shared" si="83"/>
        <v>11.128850419834604</v>
      </c>
      <c r="DG62" s="66">
        <f t="shared" si="83"/>
        <v>11.509774325313803</v>
      </c>
      <c r="DH62" s="66">
        <f t="shared" si="83"/>
        <v>11.772382481996535</v>
      </c>
      <c r="DI62" s="66">
        <f t="shared" si="83"/>
        <v>12.731564845293967</v>
      </c>
      <c r="DK62" s="15">
        <v>2018</v>
      </c>
      <c r="DL62" s="16">
        <f t="shared" si="21"/>
        <v>2789.0763618249007</v>
      </c>
      <c r="DM62" s="16">
        <f t="shared" si="22"/>
        <v>2686.350835674255</v>
      </c>
      <c r="DN62" s="16">
        <f t="shared" si="23"/>
        <v>2544.5372174496229</v>
      </c>
      <c r="DO62" s="16">
        <f t="shared" si="24"/>
        <v>2365.7544517122465</v>
      </c>
      <c r="DP62" s="16">
        <f t="shared" si="25"/>
        <v>2298.3904155175314</v>
      </c>
      <c r="DQ62" s="16">
        <f t="shared" si="26"/>
        <v>2238.1021993862605</v>
      </c>
      <c r="DR62" s="16">
        <f t="shared" si="27"/>
        <v>2293.4138856877189</v>
      </c>
      <c r="DS62" s="16">
        <f t="shared" si="28"/>
        <v>2138.655690979655</v>
      </c>
      <c r="DT62" s="16">
        <f t="shared" si="29"/>
        <v>2034.1847057382308</v>
      </c>
      <c r="DU62" s="16">
        <f t="shared" si="30"/>
        <v>1922.0323724430325</v>
      </c>
      <c r="DV62" s="16">
        <f t="shared" si="31"/>
        <v>1938.3098339192313</v>
      </c>
      <c r="DW62" s="15">
        <f t="shared" si="32"/>
        <v>25248807.970332682</v>
      </c>
      <c r="DX62" s="15">
        <v>105133700</v>
      </c>
      <c r="DY62" s="15">
        <f t="shared" si="33"/>
        <v>130382507.97033268</v>
      </c>
      <c r="EA62" s="21">
        <v>2018</v>
      </c>
      <c r="EB62" s="24">
        <f t="shared" si="34"/>
        <v>2789.0763618249007</v>
      </c>
      <c r="EC62" s="24">
        <f t="shared" si="35"/>
        <v>2686.350835674255</v>
      </c>
      <c r="ED62" s="24">
        <f t="shared" si="36"/>
        <v>2544.5372174496229</v>
      </c>
      <c r="EE62" s="24">
        <f t="shared" si="37"/>
        <v>2365.7544517122465</v>
      </c>
      <c r="EF62" s="24">
        <f t="shared" si="38"/>
        <v>2298.3904155175314</v>
      </c>
      <c r="EG62" s="24">
        <f t="shared" si="39"/>
        <v>2238.1021993862605</v>
      </c>
      <c r="EH62" s="24">
        <f t="shared" si="40"/>
        <v>2293.4138856877189</v>
      </c>
      <c r="EI62" s="24">
        <f t="shared" si="41"/>
        <v>2138.655690979655</v>
      </c>
      <c r="EJ62" s="24">
        <f t="shared" si="42"/>
        <v>2034.1847057382308</v>
      </c>
      <c r="EK62" s="24">
        <f t="shared" si="43"/>
        <v>1922.0323724430325</v>
      </c>
      <c r="EL62" s="24">
        <f t="shared" si="44"/>
        <v>1938.3098339192313</v>
      </c>
      <c r="EM62" s="21">
        <f t="shared" si="45"/>
        <v>25248807.970332682</v>
      </c>
      <c r="EN62" s="21">
        <v>105133700</v>
      </c>
      <c r="EO62" s="21">
        <f t="shared" si="46"/>
        <v>130382507.97033268</v>
      </c>
      <c r="EQ62" s="11">
        <v>2018</v>
      </c>
      <c r="ER62" s="11">
        <f t="shared" si="47"/>
        <v>2789.0763618249007</v>
      </c>
      <c r="ES62" s="11">
        <f t="shared" si="48"/>
        <v>2686.350835674255</v>
      </c>
      <c r="ET62" s="11">
        <f t="shared" si="49"/>
        <v>2544.5372174496229</v>
      </c>
      <c r="EU62" s="11">
        <f t="shared" si="50"/>
        <v>2365.7544517122465</v>
      </c>
      <c r="EV62" s="11">
        <f t="shared" si="51"/>
        <v>2298.3904155175314</v>
      </c>
      <c r="EW62" s="11">
        <f t="shared" si="52"/>
        <v>2238.1021993862605</v>
      </c>
      <c r="EX62" s="11">
        <f t="shared" si="53"/>
        <v>2293.4138856877189</v>
      </c>
      <c r="EY62" s="11">
        <f t="shared" si="54"/>
        <v>2138.655690979655</v>
      </c>
      <c r="EZ62" s="11">
        <f t="shared" si="55"/>
        <v>2034.1847057382308</v>
      </c>
      <c r="FA62" s="11">
        <f t="shared" si="56"/>
        <v>1922.0323724430325</v>
      </c>
      <c r="FB62" s="11">
        <f t="shared" si="57"/>
        <v>1938.3098339192313</v>
      </c>
      <c r="FC62" s="11">
        <f t="shared" si="58"/>
        <v>25248807.970332682</v>
      </c>
      <c r="FD62" s="11">
        <v>105133700</v>
      </c>
      <c r="FE62" s="11">
        <f t="shared" si="59"/>
        <v>130382507.97033268</v>
      </c>
    </row>
    <row r="63" spans="1:161" x14ac:dyDescent="0.3">
      <c r="A63" s="15">
        <v>2019</v>
      </c>
      <c r="B63" s="16">
        <f t="shared" ref="B63:L63" si="84">(B$60+1*(B$18-B$60))</f>
        <v>479.40725000000003</v>
      </c>
      <c r="C63" s="16">
        <f t="shared" si="84"/>
        <v>367.99689743589744</v>
      </c>
      <c r="D63" s="16">
        <f t="shared" si="84"/>
        <v>314.18944736842099</v>
      </c>
      <c r="E63" s="16">
        <f t="shared" si="84"/>
        <v>276.04562162162159</v>
      </c>
      <c r="F63" s="16">
        <f t="shared" si="84"/>
        <v>246.86702777777776</v>
      </c>
      <c r="G63" s="16">
        <f t="shared" si="84"/>
        <v>223.71811428571431</v>
      </c>
      <c r="H63" s="59">
        <f t="shared" si="84"/>
        <v>212.43485757693256</v>
      </c>
      <c r="I63" s="59">
        <f t="shared" si="84"/>
        <v>193.70679473334076</v>
      </c>
      <c r="J63" s="59">
        <f t="shared" si="84"/>
        <v>177.75490006864672</v>
      </c>
      <c r="K63" s="59">
        <f t="shared" si="84"/>
        <v>163.96111325009846</v>
      </c>
      <c r="L63" s="59">
        <f t="shared" si="84"/>
        <v>152.11510360175077</v>
      </c>
      <c r="M63" s="18" t="s">
        <v>22</v>
      </c>
      <c r="N63" s="15" t="s">
        <v>54</v>
      </c>
      <c r="O63" s="18" t="s">
        <v>9</v>
      </c>
      <c r="P63" s="56"/>
      <c r="R63" s="21">
        <v>2019</v>
      </c>
      <c r="S63" s="23">
        <f t="shared" ref="S63:AC63" si="85">S$60+1*(S$18-S$60)</f>
        <v>0.78140529340651155</v>
      </c>
      <c r="T63" s="23">
        <f t="shared" si="85"/>
        <v>0.84201986597643674</v>
      </c>
      <c r="U63" s="23">
        <f t="shared" si="85"/>
        <v>0.86615358049561486</v>
      </c>
      <c r="V63" s="23">
        <f t="shared" si="85"/>
        <v>0.88364932114227812</v>
      </c>
      <c r="W63" s="23">
        <f t="shared" si="85"/>
        <v>0.89554007089515686</v>
      </c>
      <c r="X63" s="60">
        <f t="shared" si="85"/>
        <v>0.90384908371160144</v>
      </c>
      <c r="Y63" s="60">
        <f t="shared" si="85"/>
        <v>0.91214938010898494</v>
      </c>
      <c r="Z63" s="60">
        <f t="shared" si="85"/>
        <v>0.91921334653621301</v>
      </c>
      <c r="AA63" s="60">
        <f t="shared" si="85"/>
        <v>0.92537334076076772</v>
      </c>
      <c r="AB63" s="60">
        <f t="shared" si="85"/>
        <v>0.93107134918860956</v>
      </c>
      <c r="AC63" s="60">
        <f t="shared" si="85"/>
        <v>0.8738298206816032</v>
      </c>
      <c r="AD63" s="21" t="s">
        <v>34</v>
      </c>
      <c r="AE63" s="21" t="s">
        <v>54</v>
      </c>
      <c r="AF63" s="21" t="s">
        <v>35</v>
      </c>
      <c r="AH63" s="11">
        <v>2019</v>
      </c>
      <c r="AI63" s="13">
        <f>AI$60+1*(AI$18-AI$60)</f>
        <v>6.0464960686692457</v>
      </c>
      <c r="AJ63" s="13">
        <f t="shared" ref="AJ63:AS73" si="86">AJ$60+1*(AJ$18-AJ$60)</f>
        <v>7.7460848474990849</v>
      </c>
      <c r="AK63" s="13">
        <f t="shared" si="86"/>
        <v>8.4307627543747419</v>
      </c>
      <c r="AL63" s="13">
        <f t="shared" si="86"/>
        <v>9.1043505257283908</v>
      </c>
      <c r="AM63" s="13">
        <f t="shared" si="86"/>
        <v>9.757111883058819</v>
      </c>
      <c r="AN63" s="13">
        <f t="shared" si="86"/>
        <v>10.368419644842689</v>
      </c>
      <c r="AO63" s="66">
        <f t="shared" si="86"/>
        <v>10.767462535559279</v>
      </c>
      <c r="AP63" s="66">
        <f t="shared" si="86"/>
        <v>11.263184952539948</v>
      </c>
      <c r="AQ63" s="66">
        <f t="shared" si="86"/>
        <v>11.842457420682109</v>
      </c>
      <c r="AR63" s="66">
        <f t="shared" si="86"/>
        <v>12.429534337153493</v>
      </c>
      <c r="AS63" s="66">
        <f t="shared" si="86"/>
        <v>13.089331639734455</v>
      </c>
      <c r="AT63" s="66">
        <f t="shared" si="65"/>
        <v>8.133722346915059</v>
      </c>
      <c r="AU63" s="13" t="s">
        <v>22</v>
      </c>
      <c r="AV63" s="13" t="s">
        <v>23</v>
      </c>
      <c r="AW63" s="13" t="s">
        <v>9</v>
      </c>
      <c r="AY63" s="36">
        <v>2019</v>
      </c>
      <c r="AZ63" s="37">
        <f t="shared" si="14"/>
        <v>2898.7340524165343</v>
      </c>
      <c r="BA63" s="37">
        <f t="shared" si="15"/>
        <v>2850.5351911548801</v>
      </c>
      <c r="BB63" s="37">
        <f t="shared" si="60"/>
        <v>2648.856690691267</v>
      </c>
      <c r="BC63" s="37">
        <f t="shared" si="61"/>
        <v>2513.216100335831</v>
      </c>
      <c r="BD63" s="37">
        <f t="shared" si="62"/>
        <v>2408.7092102659672</v>
      </c>
      <c r="BE63" s="37">
        <f t="shared" si="63"/>
        <v>2319.603291067162</v>
      </c>
      <c r="BF63" s="37">
        <f t="shared" si="66"/>
        <v>2287.3843702064923</v>
      </c>
      <c r="BG63" s="37">
        <f t="shared" si="67"/>
        <v>2181.7554556453083</v>
      </c>
      <c r="BH63" s="37">
        <f t="shared" si="68"/>
        <v>2105.054835380552</v>
      </c>
      <c r="BI63" s="37">
        <f t="shared" si="69"/>
        <v>2037.9602871000113</v>
      </c>
      <c r="BJ63" s="37">
        <f t="shared" si="70"/>
        <v>1991.085038455881</v>
      </c>
      <c r="BK63" s="36">
        <f t="shared" si="16"/>
        <v>26242894.522719886</v>
      </c>
      <c r="BL63" s="40">
        <f t="shared" si="74"/>
        <v>107289000</v>
      </c>
      <c r="BM63" s="38">
        <f t="shared" si="17"/>
        <v>133531894.52271989</v>
      </c>
      <c r="BN63" s="38">
        <v>133531894.52271989</v>
      </c>
      <c r="BO63" s="39">
        <f t="shared" si="18"/>
        <v>133531894.52271989</v>
      </c>
      <c r="BP63" s="39">
        <f t="shared" si="19"/>
        <v>133531894.52271989</v>
      </c>
      <c r="BQ63" s="39">
        <f t="shared" si="20"/>
        <v>133531894.52271989</v>
      </c>
      <c r="BR63" s="39">
        <f>(BO63-BN63)/1000000</f>
        <v>0</v>
      </c>
      <c r="BS63" s="68">
        <f>(BM63-BN63)/1000000</f>
        <v>0</v>
      </c>
      <c r="BT63" s="68">
        <f>(BO63-$BN63)/1000000</f>
        <v>0</v>
      </c>
      <c r="BU63" s="68">
        <f>(BP63-$BN63)/1000000</f>
        <v>0</v>
      </c>
      <c r="BV63" s="68">
        <f>(BQ63-$BN63)/1000000</f>
        <v>0</v>
      </c>
      <c r="BW63" s="44"/>
      <c r="BX63" s="15">
        <v>2019</v>
      </c>
      <c r="BY63" s="16">
        <f t="shared" ref="BY63:CI63" si="87">(BY$60+1*(BY$18-BY$60))</f>
        <v>479.40725000000003</v>
      </c>
      <c r="BZ63" s="16">
        <f t="shared" si="87"/>
        <v>367.99689743589744</v>
      </c>
      <c r="CA63" s="16">
        <f t="shared" si="87"/>
        <v>314.18944736842099</v>
      </c>
      <c r="CB63" s="16">
        <f t="shared" si="87"/>
        <v>276.04562162162159</v>
      </c>
      <c r="CC63" s="16">
        <f t="shared" si="87"/>
        <v>246.86702777777776</v>
      </c>
      <c r="CD63" s="16">
        <f t="shared" si="87"/>
        <v>223.71811428571431</v>
      </c>
      <c r="CE63" s="59">
        <f t="shared" si="87"/>
        <v>212.43485757693256</v>
      </c>
      <c r="CF63" s="59">
        <f t="shared" si="87"/>
        <v>193.70679473334076</v>
      </c>
      <c r="CG63" s="59">
        <f t="shared" si="87"/>
        <v>177.75490006864672</v>
      </c>
      <c r="CH63" s="59">
        <f t="shared" si="87"/>
        <v>163.96111325009846</v>
      </c>
      <c r="CI63" s="59">
        <f t="shared" si="87"/>
        <v>152.11510360175077</v>
      </c>
      <c r="CK63" s="21">
        <v>2019</v>
      </c>
      <c r="CL63" s="24">
        <f t="shared" ref="CL63:CV63" si="88">(CL$60+1*(CL$18-CL$60))</f>
        <v>479.40725000000003</v>
      </c>
      <c r="CM63" s="24">
        <f t="shared" si="88"/>
        <v>367.99689743589744</v>
      </c>
      <c r="CN63" s="24">
        <f t="shared" si="88"/>
        <v>314.18944736842099</v>
      </c>
      <c r="CO63" s="24">
        <f t="shared" si="88"/>
        <v>276.04562162162159</v>
      </c>
      <c r="CP63" s="24">
        <f t="shared" si="88"/>
        <v>246.86702777777776</v>
      </c>
      <c r="CQ63" s="24">
        <f t="shared" si="88"/>
        <v>223.71811428571431</v>
      </c>
      <c r="CR63" s="5">
        <f t="shared" si="88"/>
        <v>212.43485757693256</v>
      </c>
      <c r="CS63" s="5">
        <f t="shared" si="88"/>
        <v>193.70679473334076</v>
      </c>
      <c r="CT63" s="5">
        <f t="shared" si="88"/>
        <v>177.75490006864672</v>
      </c>
      <c r="CU63" s="5">
        <f t="shared" si="88"/>
        <v>163.96111325009846</v>
      </c>
      <c r="CV63" s="5">
        <f t="shared" si="88"/>
        <v>152.11510360175077</v>
      </c>
      <c r="CX63" s="11">
        <v>2019</v>
      </c>
      <c r="CY63" s="13">
        <f>CY$60+1*(CY$18-CY$60)</f>
        <v>6.0464960686692457</v>
      </c>
      <c r="CZ63" s="13">
        <f t="shared" ref="CZ63:DI74" si="89">CZ$60+1*(CZ$18-CZ$60)</f>
        <v>7.7460848474990849</v>
      </c>
      <c r="DA63" s="13">
        <f t="shared" si="89"/>
        <v>8.4307627543747419</v>
      </c>
      <c r="DB63" s="13">
        <f t="shared" si="89"/>
        <v>9.1043505257283908</v>
      </c>
      <c r="DC63" s="13">
        <f t="shared" si="89"/>
        <v>9.757111883058819</v>
      </c>
      <c r="DD63" s="13">
        <f t="shared" si="89"/>
        <v>10.368419644842689</v>
      </c>
      <c r="DE63" s="66">
        <f t="shared" si="89"/>
        <v>10.767462535559279</v>
      </c>
      <c r="DF63" s="66">
        <f t="shared" si="89"/>
        <v>11.263184952539948</v>
      </c>
      <c r="DG63" s="66">
        <f t="shared" si="89"/>
        <v>11.842457420682109</v>
      </c>
      <c r="DH63" s="66">
        <f t="shared" si="89"/>
        <v>12.429534337153493</v>
      </c>
      <c r="DI63" s="66">
        <f t="shared" si="89"/>
        <v>13.089331639734455</v>
      </c>
      <c r="DK63" s="15">
        <v>2019</v>
      </c>
      <c r="DL63" s="16">
        <f t="shared" si="21"/>
        <v>2898.7340524165343</v>
      </c>
      <c r="DM63" s="16">
        <f t="shared" si="22"/>
        <v>2850.5351911548801</v>
      </c>
      <c r="DN63" s="16">
        <f t="shared" si="23"/>
        <v>2648.856690691267</v>
      </c>
      <c r="DO63" s="16">
        <f t="shared" si="24"/>
        <v>2513.216100335831</v>
      </c>
      <c r="DP63" s="16">
        <f t="shared" si="25"/>
        <v>2408.7092102659672</v>
      </c>
      <c r="DQ63" s="16">
        <f t="shared" si="26"/>
        <v>2319.603291067162</v>
      </c>
      <c r="DR63" s="16">
        <f t="shared" si="27"/>
        <v>2287.3843702064923</v>
      </c>
      <c r="DS63" s="16">
        <f t="shared" si="28"/>
        <v>2181.7554556453083</v>
      </c>
      <c r="DT63" s="16">
        <f t="shared" si="29"/>
        <v>2105.054835380552</v>
      </c>
      <c r="DU63" s="16">
        <f t="shared" si="30"/>
        <v>2037.9602871000113</v>
      </c>
      <c r="DV63" s="16">
        <f t="shared" si="31"/>
        <v>1991.085038455881</v>
      </c>
      <c r="DW63" s="15">
        <f t="shared" si="32"/>
        <v>26242894.522719886</v>
      </c>
      <c r="DX63" s="15">
        <v>107289000</v>
      </c>
      <c r="DY63" s="15">
        <f t="shared" si="33"/>
        <v>133531894.52271989</v>
      </c>
      <c r="EA63" s="21">
        <v>2019</v>
      </c>
      <c r="EB63" s="24">
        <f t="shared" si="34"/>
        <v>2898.7340524165343</v>
      </c>
      <c r="EC63" s="24">
        <f t="shared" si="35"/>
        <v>2850.5351911548801</v>
      </c>
      <c r="ED63" s="24">
        <f t="shared" si="36"/>
        <v>2648.856690691267</v>
      </c>
      <c r="EE63" s="24">
        <f t="shared" si="37"/>
        <v>2513.216100335831</v>
      </c>
      <c r="EF63" s="24">
        <f t="shared" si="38"/>
        <v>2408.7092102659672</v>
      </c>
      <c r="EG63" s="24">
        <f t="shared" si="39"/>
        <v>2319.603291067162</v>
      </c>
      <c r="EH63" s="24">
        <f t="shared" si="40"/>
        <v>2287.3843702064923</v>
      </c>
      <c r="EI63" s="24">
        <f t="shared" si="41"/>
        <v>2181.7554556453083</v>
      </c>
      <c r="EJ63" s="24">
        <f t="shared" si="42"/>
        <v>2105.054835380552</v>
      </c>
      <c r="EK63" s="24">
        <f t="shared" si="43"/>
        <v>2037.9602871000113</v>
      </c>
      <c r="EL63" s="24">
        <f t="shared" si="44"/>
        <v>1991.085038455881</v>
      </c>
      <c r="EM63" s="21">
        <f t="shared" si="45"/>
        <v>26242894.522719886</v>
      </c>
      <c r="EN63" s="21">
        <v>107289000</v>
      </c>
      <c r="EO63" s="21">
        <f t="shared" si="46"/>
        <v>133531894.52271989</v>
      </c>
      <c r="EQ63" s="11">
        <v>2019</v>
      </c>
      <c r="ER63" s="11">
        <f t="shared" si="47"/>
        <v>2898.7340524165343</v>
      </c>
      <c r="ES63" s="11">
        <f t="shared" si="48"/>
        <v>2850.5351911548801</v>
      </c>
      <c r="ET63" s="11">
        <f t="shared" si="49"/>
        <v>2648.856690691267</v>
      </c>
      <c r="EU63" s="11">
        <f t="shared" si="50"/>
        <v>2513.216100335831</v>
      </c>
      <c r="EV63" s="11">
        <f t="shared" si="51"/>
        <v>2408.7092102659672</v>
      </c>
      <c r="EW63" s="11">
        <f t="shared" si="52"/>
        <v>2319.603291067162</v>
      </c>
      <c r="EX63" s="11">
        <f t="shared" si="53"/>
        <v>2287.3843702064923</v>
      </c>
      <c r="EY63" s="11">
        <f t="shared" si="54"/>
        <v>2181.7554556453083</v>
      </c>
      <c r="EZ63" s="11">
        <f t="shared" si="55"/>
        <v>2105.054835380552</v>
      </c>
      <c r="FA63" s="11">
        <f t="shared" si="56"/>
        <v>2037.9602871000113</v>
      </c>
      <c r="FB63" s="11">
        <f t="shared" si="57"/>
        <v>1991.085038455881</v>
      </c>
      <c r="FC63" s="11">
        <f t="shared" si="58"/>
        <v>26242894.522719886</v>
      </c>
      <c r="FD63" s="11">
        <v>107289000</v>
      </c>
      <c r="FE63" s="11">
        <f t="shared" si="59"/>
        <v>133531894.52271989</v>
      </c>
    </row>
    <row r="64" spans="1:161" x14ac:dyDescent="0.3">
      <c r="A64" s="15">
        <v>2020</v>
      </c>
      <c r="B64" s="16">
        <f>MAX(IF($P4=1,B19,IF($P4=0,$B$18*(1+$F$5)-($B$18*$F$5)*$V4,B19+($B$18*(1+$F$5)-(B19-($B$3-1)*($B$18-B19)))*(1-$P4))),0)</f>
        <v>383.52580000000006</v>
      </c>
      <c r="C64" s="16">
        <f t="shared" ref="C64:C74" si="90">B63*S64</f>
        <v>363.37302196203507</v>
      </c>
      <c r="D64" s="16">
        <f t="shared" ref="D64:D74" si="91">C63*T64</f>
        <v>300.56487731095734</v>
      </c>
      <c r="E64" s="16">
        <f t="shared" ref="E64:E74" si="92">D63*U64</f>
        <v>263.97222534833344</v>
      </c>
      <c r="F64" s="16">
        <f t="shared" ref="F64:F74" si="93">E63*V64</f>
        <v>236.60970036573676</v>
      </c>
      <c r="G64" s="16">
        <f t="shared" ref="G64:G74" si="94">F63*W64</f>
        <v>214.44693609105411</v>
      </c>
      <c r="H64" s="59">
        <f t="shared" ref="H64:H74" si="95">G63*X64</f>
        <v>196.14119022862531</v>
      </c>
      <c r="I64" s="59">
        <f t="shared" ref="I64:I74" si="96">H63*Y64</f>
        <v>187.95915394276935</v>
      </c>
      <c r="J64" s="59">
        <f t="shared" ref="J64:J74" si="97">I63*Z64</f>
        <v>172.71613490262831</v>
      </c>
      <c r="K64" s="59">
        <f t="shared" ref="K64:K74" si="98">J63*AA64</f>
        <v>159.55495634172644</v>
      </c>
      <c r="L64" s="59">
        <f t="shared" ref="L64:L74" si="99">K63*AB64</f>
        <v>148.07971008038851</v>
      </c>
      <c r="M64" s="18">
        <f t="shared" ref="M64:M69" si="100">B52</f>
        <v>487.673</v>
      </c>
      <c r="N64" s="18">
        <f t="shared" ref="N64:N69" si="101">$B$18</f>
        <v>479.40725000000003</v>
      </c>
      <c r="O64" s="18">
        <f t="shared" ref="O64:O69" si="102">B64</f>
        <v>383.52580000000006</v>
      </c>
      <c r="P64" s="56"/>
      <c r="R64" s="24">
        <v>2020</v>
      </c>
      <c r="S64" s="23">
        <f t="shared" ref="S64:AC64" si="103">MIN(IF($R4=1,S$19,IF($R4=0,S$18*(1+$H$5)-(S$18*$H$5)*$X4,S$19-($D$3-1)*(S$18-S$19)+(S$18*(1+$H$5)-(S$19-($D$3-1)*(S$18-S$19)))*(1-$R4))),1)</f>
        <v>0.75796313460431619</v>
      </c>
      <c r="T64" s="23">
        <f t="shared" si="103"/>
        <v>0.81675926999714366</v>
      </c>
      <c r="U64" s="23">
        <f t="shared" si="103"/>
        <v>0.84016897308074634</v>
      </c>
      <c r="V64" s="23">
        <f t="shared" si="103"/>
        <v>0.8571398415080097</v>
      </c>
      <c r="W64" s="23">
        <f t="shared" si="103"/>
        <v>0.8686738687683021</v>
      </c>
      <c r="X64" s="60">
        <f t="shared" si="103"/>
        <v>0.87673361120025339</v>
      </c>
      <c r="Y64" s="60">
        <f t="shared" si="103"/>
        <v>0.88478489870571542</v>
      </c>
      <c r="Z64" s="60">
        <f t="shared" si="103"/>
        <v>0.89163694614012656</v>
      </c>
      <c r="AA64" s="60">
        <f t="shared" si="103"/>
        <v>0.89761214053794469</v>
      </c>
      <c r="AB64" s="60">
        <f t="shared" si="103"/>
        <v>0.90313920871295128</v>
      </c>
      <c r="AC64" s="60">
        <f t="shared" si="103"/>
        <v>0.84761492606115507</v>
      </c>
      <c r="AD64" s="23">
        <f>AC52*100</f>
        <v>85.889869829150783</v>
      </c>
      <c r="AE64" s="22">
        <f>$AC$18*100</f>
        <v>87.382982068160317</v>
      </c>
      <c r="AF64" s="22">
        <f t="shared" ref="AF64:AF69" si="104">AC64*100</f>
        <v>84.76149260611551</v>
      </c>
      <c r="AH64" s="11">
        <v>2020</v>
      </c>
      <c r="AI64" s="13">
        <f>IF($Q4=1,AI$19,IF($Q4=0,AI$18*(1+$G$5)-(AI$18*$G$5)*$W4,AI$19-($C$3-1)*(AI$18-AI$19)+(AI$18*(1+$G$5)-(AI$19-($C$3-1)*(AI$18-AI$19)))*$Q4))</f>
        <v>5.4418464618023217</v>
      </c>
      <c r="AJ64" s="13">
        <f t="shared" si="86"/>
        <v>7.7460848474990849</v>
      </c>
      <c r="AK64" s="13">
        <f t="shared" si="86"/>
        <v>8.4307627543747419</v>
      </c>
      <c r="AL64" s="13">
        <f t="shared" si="86"/>
        <v>9.1043505257283908</v>
      </c>
      <c r="AM64" s="13">
        <f t="shared" si="86"/>
        <v>9.757111883058819</v>
      </c>
      <c r="AN64" s="13">
        <f t="shared" si="86"/>
        <v>10.368419644842689</v>
      </c>
      <c r="AO64" s="66">
        <f t="shared" si="86"/>
        <v>10.767462535559279</v>
      </c>
      <c r="AP64" s="66">
        <f t="shared" si="86"/>
        <v>11.263184952539948</v>
      </c>
      <c r="AQ64" s="66">
        <f t="shared" si="86"/>
        <v>11.842457420682109</v>
      </c>
      <c r="AR64" s="66">
        <f t="shared" si="86"/>
        <v>12.429534337153493</v>
      </c>
      <c r="AS64" s="66">
        <f t="shared" si="86"/>
        <v>13.089331639734455</v>
      </c>
      <c r="AT64" s="66">
        <f t="shared" si="65"/>
        <v>8.1352782181153813</v>
      </c>
      <c r="AU64" s="13">
        <f>AI52</f>
        <v>5.8176031890221518</v>
      </c>
      <c r="AV64" s="13">
        <f>$AI$18</f>
        <v>6.0464960686692457</v>
      </c>
      <c r="AW64" s="13">
        <f>AI64</f>
        <v>5.4418464618023217</v>
      </c>
      <c r="AY64" s="36">
        <v>2020</v>
      </c>
      <c r="AZ64" s="37">
        <f t="shared" si="14"/>
        <v>2087.088517739905</v>
      </c>
      <c r="BA64" s="37">
        <f t="shared" si="15"/>
        <v>2814.7182594100718</v>
      </c>
      <c r="BB64" s="37">
        <f t="shared" si="60"/>
        <v>2533.9911729064329</v>
      </c>
      <c r="BC64" s="37">
        <f t="shared" si="61"/>
        <v>2403.2956686277926</v>
      </c>
      <c r="BD64" s="37">
        <f t="shared" si="62"/>
        <v>2308.6273190855168</v>
      </c>
      <c r="BE64" s="37">
        <f t="shared" si="63"/>
        <v>2223.47582494281</v>
      </c>
      <c r="BF64" s="37">
        <f t="shared" si="66"/>
        <v>2111.9429174667289</v>
      </c>
      <c r="BG64" s="37">
        <f t="shared" si="67"/>
        <v>2117.0187143803396</v>
      </c>
      <c r="BH64" s="37">
        <f t="shared" si="68"/>
        <v>2045.3834734491629</v>
      </c>
      <c r="BI64" s="37">
        <f t="shared" si="69"/>
        <v>1983.1938085125153</v>
      </c>
      <c r="BJ64" s="37">
        <f t="shared" si="70"/>
        <v>1938.2644343579345</v>
      </c>
      <c r="BK64" s="36">
        <f t="shared" si="16"/>
        <v>24567000.110879209</v>
      </c>
      <c r="BL64" s="40">
        <f t="shared" si="74"/>
        <v>109444300</v>
      </c>
      <c r="BM64" s="38">
        <f t="shared" si="17"/>
        <v>134011300.11087921</v>
      </c>
      <c r="BN64" s="38">
        <v>135518200.64328179</v>
      </c>
      <c r="BO64" s="39">
        <f t="shared" si="18"/>
        <v>134533072.24031419</v>
      </c>
      <c r="BP64" s="39">
        <f t="shared" si="19"/>
        <v>134243198.83507252</v>
      </c>
      <c r="BQ64" s="39">
        <f t="shared" si="20"/>
        <v>134706555.10860518</v>
      </c>
      <c r="BR64" s="39">
        <f t="shared" ref="BR64:BR74" si="105">(BO64-BN64)/1000000</f>
        <v>-0.98512840296760207</v>
      </c>
      <c r="BS64" s="68">
        <f t="shared" ref="BS64:BS74" si="106">(BM64-BN64)/1000000</f>
        <v>-1.506900532402575</v>
      </c>
      <c r="BT64" s="68">
        <f t="shared" ref="BT64:BT74" si="107">(BO64-$BN64)/1000000</f>
        <v>-0.98512840296760207</v>
      </c>
      <c r="BU64" s="68">
        <f t="shared" ref="BU64:BU74" si="108">(BP64-$BN64)/1000000</f>
        <v>-1.2750018082092702</v>
      </c>
      <c r="BV64" s="68">
        <f t="shared" ref="BV64:BV74" si="109">(BQ64-$BN64)/1000000</f>
        <v>-0.81164553467661138</v>
      </c>
      <c r="BW64" s="44"/>
      <c r="BX64" s="15">
        <v>2020</v>
      </c>
      <c r="BY64" s="16">
        <f t="shared" ref="BY64:BY74" si="110">(BY$60+1*(BY$18-BY$60))</f>
        <v>479.40725000000003</v>
      </c>
      <c r="BZ64" s="16">
        <f>BY63*S64</f>
        <v>363.37302196203507</v>
      </c>
      <c r="CA64" s="16">
        <f t="shared" ref="CA64:CH64" si="111">BZ63*T64</f>
        <v>300.56487731095734</v>
      </c>
      <c r="CB64" s="16">
        <f t="shared" si="111"/>
        <v>263.97222534833344</v>
      </c>
      <c r="CC64" s="16">
        <f t="shared" si="111"/>
        <v>236.60970036573676</v>
      </c>
      <c r="CD64" s="16">
        <f t="shared" si="111"/>
        <v>214.44693609105411</v>
      </c>
      <c r="CE64" s="59">
        <f t="shared" si="111"/>
        <v>196.14119022862531</v>
      </c>
      <c r="CF64" s="59">
        <f t="shared" si="111"/>
        <v>187.95915394276935</v>
      </c>
      <c r="CG64" s="59">
        <f t="shared" si="111"/>
        <v>172.71613490262831</v>
      </c>
      <c r="CH64" s="59">
        <f t="shared" si="111"/>
        <v>159.55495634172644</v>
      </c>
      <c r="CI64" s="59">
        <f>CH63*AB64</f>
        <v>148.07971008038851</v>
      </c>
      <c r="CK64" s="21">
        <v>2020</v>
      </c>
      <c r="CL64" s="24">
        <f>B64</f>
        <v>383.52580000000006</v>
      </c>
      <c r="CM64" s="24">
        <f>CL63*S$18</f>
        <v>374.61136284745885</v>
      </c>
      <c r="CN64" s="24">
        <f t="shared" ref="CN64:CV64" si="112">CM63*T$18</f>
        <v>309.86069825871891</v>
      </c>
      <c r="CO64" s="24">
        <f t="shared" si="112"/>
        <v>272.13631479209636</v>
      </c>
      <c r="CP64" s="24">
        <f t="shared" si="112"/>
        <v>243.92752615024409</v>
      </c>
      <c r="CQ64" s="24">
        <f t="shared" si="112"/>
        <v>221.07931555778777</v>
      </c>
      <c r="CR64" s="5">
        <f t="shared" si="112"/>
        <v>202.20741260683022</v>
      </c>
      <c r="CS64" s="5">
        <f t="shared" si="112"/>
        <v>193.77232365233954</v>
      </c>
      <c r="CT64" s="5">
        <f t="shared" si="112"/>
        <v>178.05787103363744</v>
      </c>
      <c r="CU64" s="5">
        <f t="shared" si="112"/>
        <v>164.48964571312004</v>
      </c>
      <c r="CV64" s="5">
        <f t="shared" si="112"/>
        <v>152.65949492823557</v>
      </c>
      <c r="CX64" s="11">
        <v>2020</v>
      </c>
      <c r="CY64" s="13">
        <f t="shared" ref="CY64:CY74" si="113">CY$60+1*(CY$18-CY$60)</f>
        <v>6.0464960686692457</v>
      </c>
      <c r="CZ64" s="13">
        <f t="shared" si="89"/>
        <v>7.7460848474990849</v>
      </c>
      <c r="DA64" s="13">
        <f t="shared" si="89"/>
        <v>8.4307627543747419</v>
      </c>
      <c r="DB64" s="13">
        <f t="shared" si="89"/>
        <v>9.1043505257283908</v>
      </c>
      <c r="DC64" s="13">
        <f t="shared" si="89"/>
        <v>9.757111883058819</v>
      </c>
      <c r="DD64" s="13">
        <f t="shared" si="89"/>
        <v>10.368419644842689</v>
      </c>
      <c r="DE64" s="66">
        <f t="shared" si="89"/>
        <v>10.767462535559279</v>
      </c>
      <c r="DF64" s="66">
        <f t="shared" si="89"/>
        <v>11.263184952539948</v>
      </c>
      <c r="DG64" s="66">
        <f t="shared" si="89"/>
        <v>11.842457420682109</v>
      </c>
      <c r="DH64" s="66">
        <f t="shared" si="89"/>
        <v>12.429534337153493</v>
      </c>
      <c r="DI64" s="66">
        <f t="shared" si="89"/>
        <v>13.089331639734455</v>
      </c>
      <c r="DK64" s="15">
        <v>2020</v>
      </c>
      <c r="DL64" s="16">
        <f t="shared" si="21"/>
        <v>2608.8606471748813</v>
      </c>
      <c r="DM64" s="16">
        <f t="shared" si="22"/>
        <v>2814.7182594100718</v>
      </c>
      <c r="DN64" s="16">
        <f t="shared" si="23"/>
        <v>2533.9911729064329</v>
      </c>
      <c r="DO64" s="16">
        <f t="shared" si="24"/>
        <v>2403.2956686277926</v>
      </c>
      <c r="DP64" s="16">
        <f t="shared" si="25"/>
        <v>2308.6273190855168</v>
      </c>
      <c r="DQ64" s="16">
        <f t="shared" si="26"/>
        <v>2223.47582494281</v>
      </c>
      <c r="DR64" s="16">
        <f t="shared" si="27"/>
        <v>2111.9429174667289</v>
      </c>
      <c r="DS64" s="16">
        <f t="shared" si="28"/>
        <v>2117.0187143803396</v>
      </c>
      <c r="DT64" s="16">
        <f t="shared" si="29"/>
        <v>2045.3834734491629</v>
      </c>
      <c r="DU64" s="16">
        <f t="shared" si="30"/>
        <v>1983.1938085125153</v>
      </c>
      <c r="DV64" s="16">
        <f t="shared" si="31"/>
        <v>1938.2644343579345</v>
      </c>
      <c r="DW64" s="15">
        <f t="shared" si="32"/>
        <v>25088772.240314186</v>
      </c>
      <c r="DX64" s="15">
        <v>109444300</v>
      </c>
      <c r="DY64" s="15">
        <f t="shared" si="33"/>
        <v>134533072.24031419</v>
      </c>
      <c r="EA64" s="21">
        <v>2020</v>
      </c>
      <c r="EB64" s="24">
        <f t="shared" si="34"/>
        <v>2087.088517739905</v>
      </c>
      <c r="EC64" s="24">
        <f t="shared" si="35"/>
        <v>2901.7714014536828</v>
      </c>
      <c r="ED64" s="24">
        <f t="shared" si="36"/>
        <v>2612.3620339241579</v>
      </c>
      <c r="EE64" s="24">
        <f t="shared" si="37"/>
        <v>2477.6244006472093</v>
      </c>
      <c r="EF64" s="24">
        <f t="shared" si="38"/>
        <v>2380.0281640056874</v>
      </c>
      <c r="EG64" s="24">
        <f t="shared" si="39"/>
        <v>2292.2431184977427</v>
      </c>
      <c r="EH64" s="24">
        <f t="shared" si="40"/>
        <v>2177.2607396564213</v>
      </c>
      <c r="EI64" s="24">
        <f t="shared" si="41"/>
        <v>2182.4935199797314</v>
      </c>
      <c r="EJ64" s="24">
        <f t="shared" si="42"/>
        <v>2108.6427561331575</v>
      </c>
      <c r="EK64" s="24">
        <f t="shared" si="43"/>
        <v>2044.5296994974385</v>
      </c>
      <c r="EL64" s="24">
        <f t="shared" si="44"/>
        <v>1998.2107570700355</v>
      </c>
      <c r="EM64" s="21">
        <f t="shared" si="45"/>
        <v>25262255.108605172</v>
      </c>
      <c r="EN64" s="21">
        <v>109444300</v>
      </c>
      <c r="EO64" s="21">
        <f t="shared" si="46"/>
        <v>134706555.10860518</v>
      </c>
      <c r="EQ64" s="11">
        <v>2020</v>
      </c>
      <c r="ER64" s="11">
        <f t="shared" si="47"/>
        <v>2318.9872419332278</v>
      </c>
      <c r="ES64" s="11">
        <f t="shared" si="48"/>
        <v>2814.7182594100718</v>
      </c>
      <c r="ET64" s="11">
        <f t="shared" si="49"/>
        <v>2533.9911729064329</v>
      </c>
      <c r="EU64" s="11">
        <f t="shared" si="50"/>
        <v>2403.2956686277926</v>
      </c>
      <c r="EV64" s="11">
        <f t="shared" si="51"/>
        <v>2308.6273190855168</v>
      </c>
      <c r="EW64" s="11">
        <f t="shared" si="52"/>
        <v>2223.47582494281</v>
      </c>
      <c r="EX64" s="11">
        <f t="shared" si="53"/>
        <v>2111.9429174667289</v>
      </c>
      <c r="EY64" s="11">
        <f t="shared" si="54"/>
        <v>2117.0187143803396</v>
      </c>
      <c r="EZ64" s="11">
        <f t="shared" si="55"/>
        <v>2045.3834734491629</v>
      </c>
      <c r="FA64" s="11">
        <f t="shared" si="56"/>
        <v>1983.1938085125153</v>
      </c>
      <c r="FB64" s="11">
        <f t="shared" si="57"/>
        <v>1938.2644343579345</v>
      </c>
      <c r="FC64" s="11">
        <f t="shared" si="58"/>
        <v>24798898.835072529</v>
      </c>
      <c r="FD64" s="11">
        <v>109444300</v>
      </c>
      <c r="FE64" s="11">
        <f t="shared" si="59"/>
        <v>134243198.83507252</v>
      </c>
    </row>
    <row r="65" spans="1:161" x14ac:dyDescent="0.3">
      <c r="A65" s="15">
        <v>2021</v>
      </c>
      <c r="B65" s="16">
        <f>MAX(IF($P5=1,B19,IF($P5=0,$B$18*(1+$F$5)-($B$18*$F$5)*$V5,B19-($B$3-1)*($B$18-B19)+($B$18*(1+$F$5)-(B19-($B$3-1)*($B$18-B19)))*(1-$P5))),0)</f>
        <v>479.40725000000003</v>
      </c>
      <c r="C65" s="16">
        <f t="shared" si="90"/>
        <v>299.68909027796713</v>
      </c>
      <c r="D65" s="16">
        <f t="shared" si="91"/>
        <v>305.96730325192556</v>
      </c>
      <c r="E65" s="16">
        <f t="shared" si="92"/>
        <v>260.33534465411088</v>
      </c>
      <c r="F65" s="16">
        <f t="shared" si="93"/>
        <v>233.25887772947129</v>
      </c>
      <c r="G65" s="16">
        <f t="shared" si="94"/>
        <v>211.89346784001373</v>
      </c>
      <c r="H65" s="59">
        <f t="shared" si="95"/>
        <v>193.82766669065961</v>
      </c>
      <c r="I65" s="59">
        <f t="shared" si="96"/>
        <v>178.91006508087906</v>
      </c>
      <c r="J65" s="59">
        <f t="shared" si="97"/>
        <v>172.77456290784824</v>
      </c>
      <c r="K65" s="59">
        <f t="shared" si="98"/>
        <v>159.82690675813259</v>
      </c>
      <c r="L65" s="59">
        <f t="shared" si="99"/>
        <v>148.55704847082092</v>
      </c>
      <c r="M65" s="18">
        <f t="shared" si="100"/>
        <v>406.32100000000003</v>
      </c>
      <c r="N65" s="18">
        <f t="shared" si="101"/>
        <v>479.40725000000003</v>
      </c>
      <c r="O65" s="18">
        <f t="shared" si="102"/>
        <v>479.40725000000003</v>
      </c>
      <c r="P65" s="56"/>
      <c r="R65" s="24">
        <v>2021</v>
      </c>
      <c r="S65" s="23">
        <f t="shared" ref="S65:AB65" si="114">MIN(IF($R5=1,S$19,IF($R5=0,S$18*(1+$H$5)-(S$18*$H$5)*$X5,S$19-($D$3-1)*(S$18-S$19)+(S$18*(1+$H$5)-(S$19-($D$3-1)*(S$18-S$19)))*(1-$R5))),1)</f>
        <v>0.78140529340651155</v>
      </c>
      <c r="T65" s="23">
        <f t="shared" si="114"/>
        <v>0.84201986597643674</v>
      </c>
      <c r="U65" s="23">
        <f t="shared" si="114"/>
        <v>0.86615358049561486</v>
      </c>
      <c r="V65" s="23">
        <f t="shared" si="114"/>
        <v>0.88364932114227812</v>
      </c>
      <c r="W65" s="23">
        <f t="shared" si="114"/>
        <v>0.89554007089515686</v>
      </c>
      <c r="X65" s="60">
        <f t="shared" si="114"/>
        <v>0.90384908371160144</v>
      </c>
      <c r="Y65" s="60">
        <f t="shared" si="114"/>
        <v>0.91214938010898494</v>
      </c>
      <c r="Z65" s="60">
        <f t="shared" si="114"/>
        <v>0.91921334653621301</v>
      </c>
      <c r="AA65" s="60">
        <f t="shared" si="114"/>
        <v>0.92537334076076772</v>
      </c>
      <c r="AB65" s="60">
        <f t="shared" si="114"/>
        <v>0.93107134918860956</v>
      </c>
      <c r="AC65" s="60">
        <f t="shared" ref="AC65:AC73" si="115">MIN(IF($R5=1,AC$19,IF($R5=0,AC$18*(1+$H$5)-(AC$18*$H$5)*$X5,AC$19-($D$3-1)*(AC$18-AC$19)+(AC$18*(1+$H$5)-(AC$19-($D$3-1)*(AC$18-AC$19)))*(1-$R5))),1)</f>
        <v>0.8738298206816032</v>
      </c>
      <c r="AD65" s="23">
        <f t="shared" ref="AD65:AD69" si="116">AC53*100</f>
        <v>84.827961343421549</v>
      </c>
      <c r="AE65" s="22">
        <f t="shared" ref="AE65:AE69" si="117">$AC$18*100</f>
        <v>87.382982068160317</v>
      </c>
      <c r="AF65" s="22">
        <f t="shared" si="104"/>
        <v>87.382982068160317</v>
      </c>
      <c r="AH65" s="11">
        <v>2021</v>
      </c>
      <c r="AI65" s="13">
        <f t="shared" ref="AI65:AI74" si="118">IF($Q5=1,AI$19,IF($Q5=0,AI$18*(1+$G$5)-(AI$18*$G$5)*$W5,AI$19-($C$3-1)*(AI$18-AI$19)+(AI$18*(1+$G$5)-(AI$19-($C$3-1)*(AI$18-AI$19)))*$Q5))</f>
        <v>6.0464960686692457</v>
      </c>
      <c r="AJ65" s="13">
        <f>IF($Q4=1,AJ$19,IF($Q4=0,AJ$18*(1+$G$5)-(AJ$18*$G$5)*$W4,AJ$19-($C$3-1)*(AJ$18-AJ$19)+(AJ$18*(1+$G$5)-(AJ$19-($C$3-1)*(AJ$18-AJ$19)))*$Q4))</f>
        <v>6.9714763627491765</v>
      </c>
      <c r="AK65" s="13">
        <f t="shared" si="86"/>
        <v>8.4307627543747419</v>
      </c>
      <c r="AL65" s="13">
        <f t="shared" si="86"/>
        <v>9.1043505257283908</v>
      </c>
      <c r="AM65" s="13">
        <f t="shared" si="86"/>
        <v>9.757111883058819</v>
      </c>
      <c r="AN65" s="13">
        <f t="shared" si="86"/>
        <v>10.368419644842689</v>
      </c>
      <c r="AO65" s="66">
        <f t="shared" si="86"/>
        <v>10.767462535559279</v>
      </c>
      <c r="AP65" s="66">
        <f t="shared" si="86"/>
        <v>11.263184952539948</v>
      </c>
      <c r="AQ65" s="66">
        <f t="shared" si="86"/>
        <v>11.842457420682109</v>
      </c>
      <c r="AR65" s="66">
        <f t="shared" si="86"/>
        <v>12.429534337153493</v>
      </c>
      <c r="AS65" s="66">
        <f t="shared" si="86"/>
        <v>13.089331639734455</v>
      </c>
      <c r="AT65" s="66">
        <f t="shared" si="65"/>
        <v>8.1556501174417626</v>
      </c>
      <c r="AU65" s="13">
        <f t="shared" ref="AU65:AU69" si="119">AI53</f>
        <v>5.8868554664907791</v>
      </c>
      <c r="AV65" s="13">
        <f t="shared" ref="AV65:AV69" si="120">$AI$18</f>
        <v>6.0464960686692457</v>
      </c>
      <c r="AW65" s="13">
        <f t="shared" ref="AW65:AW69" si="121">AI65</f>
        <v>6.0464960686692457</v>
      </c>
      <c r="AY65" s="36">
        <v>2021</v>
      </c>
      <c r="AZ65" s="37">
        <f t="shared" si="14"/>
        <v>2898.7340524165343</v>
      </c>
      <c r="BA65" s="37">
        <f t="shared" si="15"/>
        <v>2089.2754090466519</v>
      </c>
      <c r="BB65" s="37">
        <f t="shared" si="60"/>
        <v>2579.5377443128159</v>
      </c>
      <c r="BC65" s="37">
        <f t="shared" si="61"/>
        <v>2370.184231967336</v>
      </c>
      <c r="BD65" s="37">
        <f t="shared" si="62"/>
        <v>2275.9329677231885</v>
      </c>
      <c r="BE65" s="37">
        <f t="shared" si="63"/>
        <v>2197.0003945662406</v>
      </c>
      <c r="BF65" s="37">
        <f t="shared" si="66"/>
        <v>2087.0321394465486</v>
      </c>
      <c r="BG65" s="37">
        <f t="shared" si="67"/>
        <v>2015.0971528768998</v>
      </c>
      <c r="BH65" s="37">
        <f t="shared" si="68"/>
        <v>2046.0754046131551</v>
      </c>
      <c r="BI65" s="37">
        <f t="shared" si="69"/>
        <v>1986.5740255512387</v>
      </c>
      <c r="BJ65" s="37">
        <f t="shared" si="70"/>
        <v>1944.5124748546814</v>
      </c>
      <c r="BK65" s="36">
        <f t="shared" si="16"/>
        <v>24489955.997375291</v>
      </c>
      <c r="BL65" s="40">
        <f t="shared" si="74"/>
        <v>111599600</v>
      </c>
      <c r="BM65" s="38">
        <f t="shared" si="17"/>
        <v>136089555.99737528</v>
      </c>
      <c r="BN65" s="38">
        <v>137505204.97542909</v>
      </c>
      <c r="BO65" s="39">
        <f t="shared" si="18"/>
        <v>136611874.84963697</v>
      </c>
      <c r="BP65" s="39">
        <f t="shared" si="19"/>
        <v>136321697.70949158</v>
      </c>
      <c r="BQ65" s="39">
        <f t="shared" si="20"/>
        <v>136692708.98302206</v>
      </c>
      <c r="BR65" s="39">
        <f t="shared" si="105"/>
        <v>-0.8933301257921159</v>
      </c>
      <c r="BS65" s="68">
        <f t="shared" si="106"/>
        <v>-1.4156489780538082</v>
      </c>
      <c r="BT65" s="68">
        <f t="shared" si="107"/>
        <v>-0.8933301257921159</v>
      </c>
      <c r="BU65" s="68">
        <f t="shared" si="108"/>
        <v>-1.1835072659375072</v>
      </c>
      <c r="BV65" s="68">
        <f t="shared" si="109"/>
        <v>-0.81249599240702386</v>
      </c>
      <c r="BW65" s="44"/>
      <c r="BX65" s="15">
        <v>2021</v>
      </c>
      <c r="BY65" s="16">
        <f t="shared" si="110"/>
        <v>479.40725000000003</v>
      </c>
      <c r="BZ65" s="16">
        <f t="shared" ref="BZ65:BZ74" si="122">BY64*S65</f>
        <v>374.61136284745885</v>
      </c>
      <c r="CA65" s="16">
        <f t="shared" ref="CA65:CA74" si="123">BZ64*T65</f>
        <v>305.96730325192556</v>
      </c>
      <c r="CB65" s="16">
        <f t="shared" ref="CB65:CB74" si="124">CA64*U65</f>
        <v>260.33534465411088</v>
      </c>
      <c r="CC65" s="16">
        <f t="shared" ref="CC65:CC74" si="125">CB64*V65</f>
        <v>233.25887772947129</v>
      </c>
      <c r="CD65" s="16">
        <f t="shared" ref="CD65:CD74" si="126">CC64*W65</f>
        <v>211.89346784001373</v>
      </c>
      <c r="CE65" s="59">
        <f t="shared" ref="CE65:CE74" si="127">CD64*X65</f>
        <v>193.82766669065961</v>
      </c>
      <c r="CF65" s="59">
        <f t="shared" ref="CF65:CF74" si="128">CE64*Y65</f>
        <v>178.91006508087906</v>
      </c>
      <c r="CG65" s="59">
        <f t="shared" ref="CG65:CG74" si="129">CF64*Z65</f>
        <v>172.77456290784824</v>
      </c>
      <c r="CH65" s="59">
        <f t="shared" ref="CH65:CH74" si="130">CG64*AA65</f>
        <v>159.82690675813259</v>
      </c>
      <c r="CI65" s="59">
        <f t="shared" ref="CI65:CI74" si="131">CH64*AB65</f>
        <v>148.55704847082092</v>
      </c>
      <c r="CK65" s="21">
        <v>2021</v>
      </c>
      <c r="CL65" s="24">
        <f t="shared" ref="CL65:CL74" si="132">B65</f>
        <v>479.40725000000003</v>
      </c>
      <c r="CM65" s="24">
        <f t="shared" ref="CM65:CM74" si="133">CL64*S$18</f>
        <v>299.68909027796713</v>
      </c>
      <c r="CN65" s="24">
        <f t="shared" ref="CN65:CN74" si="134">CM64*T$18</f>
        <v>315.43020953806763</v>
      </c>
      <c r="CO65" s="24">
        <f t="shared" ref="CO65:CO74" si="135">CN64*U$18</f>
        <v>268.38695325166071</v>
      </c>
      <c r="CP65" s="24">
        <f t="shared" ref="CP65:CP74" si="136">CO64*V$18</f>
        <v>240.47306982419724</v>
      </c>
      <c r="CQ65" s="24">
        <f t="shared" ref="CQ65:CQ74" si="137">CP64*W$18</f>
        <v>218.44687406186983</v>
      </c>
      <c r="CR65" s="5">
        <f t="shared" ref="CR65:CR74" si="138">CQ64*X$18</f>
        <v>199.82233679449448</v>
      </c>
      <c r="CS65" s="5">
        <f t="shared" ref="CS65:CS74" si="139">CR64*Y$18</f>
        <v>184.44336606276192</v>
      </c>
      <c r="CT65" s="5">
        <f t="shared" ref="CT65:CT74" si="140">CS64*Z$18</f>
        <v>178.11810609056522</v>
      </c>
      <c r="CU65" s="5">
        <f t="shared" ref="CU65:CU74" si="141">CT64*AA$18</f>
        <v>164.770006967147</v>
      </c>
      <c r="CV65" s="5">
        <f t="shared" ref="CV65:CV74" si="142">CU64*AB$18</f>
        <v>153.15159636167107</v>
      </c>
      <c r="CX65" s="11">
        <v>2021</v>
      </c>
      <c r="CY65" s="13">
        <f t="shared" si="113"/>
        <v>6.0464960686692457</v>
      </c>
      <c r="CZ65" s="13">
        <f t="shared" si="89"/>
        <v>7.7460848474990849</v>
      </c>
      <c r="DA65" s="13">
        <f t="shared" si="89"/>
        <v>8.4307627543747419</v>
      </c>
      <c r="DB65" s="13">
        <f t="shared" si="89"/>
        <v>9.1043505257283908</v>
      </c>
      <c r="DC65" s="13">
        <f t="shared" si="89"/>
        <v>9.757111883058819</v>
      </c>
      <c r="DD65" s="13">
        <f t="shared" si="89"/>
        <v>10.368419644842689</v>
      </c>
      <c r="DE65" s="66">
        <f t="shared" si="89"/>
        <v>10.767462535559279</v>
      </c>
      <c r="DF65" s="66">
        <f t="shared" si="89"/>
        <v>11.263184952539948</v>
      </c>
      <c r="DG65" s="66">
        <f t="shared" si="89"/>
        <v>11.842457420682109</v>
      </c>
      <c r="DH65" s="66">
        <f t="shared" si="89"/>
        <v>12.429534337153493</v>
      </c>
      <c r="DI65" s="66">
        <f t="shared" si="89"/>
        <v>13.089331639734455</v>
      </c>
      <c r="DK65" s="15">
        <v>2021</v>
      </c>
      <c r="DL65" s="16">
        <f t="shared" si="21"/>
        <v>2898.7340524165343</v>
      </c>
      <c r="DM65" s="16">
        <f t="shared" si="22"/>
        <v>2611.5942613083143</v>
      </c>
      <c r="DN65" s="16">
        <f t="shared" si="23"/>
        <v>2579.5377443128159</v>
      </c>
      <c r="DO65" s="16">
        <f t="shared" si="24"/>
        <v>2370.184231967336</v>
      </c>
      <c r="DP65" s="16">
        <f t="shared" si="25"/>
        <v>2275.9329677231885</v>
      </c>
      <c r="DQ65" s="16">
        <f t="shared" si="26"/>
        <v>2197.0003945662406</v>
      </c>
      <c r="DR65" s="16">
        <f t="shared" si="27"/>
        <v>2087.0321394465486</v>
      </c>
      <c r="DS65" s="16">
        <f t="shared" si="28"/>
        <v>2015.0971528768998</v>
      </c>
      <c r="DT65" s="16">
        <f t="shared" si="29"/>
        <v>2046.0754046131551</v>
      </c>
      <c r="DU65" s="16">
        <f t="shared" si="30"/>
        <v>1986.5740255512387</v>
      </c>
      <c r="DV65" s="16">
        <f t="shared" si="31"/>
        <v>1944.5124748546814</v>
      </c>
      <c r="DW65" s="15">
        <f t="shared" si="32"/>
        <v>25012274.849636957</v>
      </c>
      <c r="DX65" s="15">
        <v>111599600</v>
      </c>
      <c r="DY65" s="15">
        <f t="shared" si="33"/>
        <v>136611874.84963697</v>
      </c>
      <c r="EA65" s="21">
        <v>2021</v>
      </c>
      <c r="EB65" s="24">
        <f t="shared" si="34"/>
        <v>2898.7340524165343</v>
      </c>
      <c r="EC65" s="24">
        <f t="shared" si="35"/>
        <v>2089.2754090466519</v>
      </c>
      <c r="ED65" s="24">
        <f t="shared" si="36"/>
        <v>2659.3172621781609</v>
      </c>
      <c r="EE65" s="24">
        <f t="shared" si="37"/>
        <v>2443.4888989353981</v>
      </c>
      <c r="EF65" s="24">
        <f t="shared" si="38"/>
        <v>2346.3226471373082</v>
      </c>
      <c r="EG65" s="24">
        <f t="shared" si="39"/>
        <v>2264.9488603775681</v>
      </c>
      <c r="EH65" s="24">
        <f t="shared" si="40"/>
        <v>2151.5795252026278</v>
      </c>
      <c r="EI65" s="24">
        <f t="shared" si="41"/>
        <v>2077.4197452339176</v>
      </c>
      <c r="EJ65" s="24">
        <f t="shared" si="42"/>
        <v>2109.3560872300573</v>
      </c>
      <c r="EK65" s="24">
        <f t="shared" si="43"/>
        <v>2048.0144593311738</v>
      </c>
      <c r="EL65" s="24">
        <f t="shared" si="44"/>
        <v>2004.6520359326614</v>
      </c>
      <c r="EM65" s="21">
        <f t="shared" si="45"/>
        <v>25093108.983022064</v>
      </c>
      <c r="EN65" s="21">
        <v>111599600</v>
      </c>
      <c r="EO65" s="21">
        <f t="shared" si="46"/>
        <v>136692708.98302206</v>
      </c>
      <c r="EQ65" s="11">
        <v>2021</v>
      </c>
      <c r="ER65" s="11">
        <f t="shared" si="47"/>
        <v>2898.7340524165343</v>
      </c>
      <c r="ES65" s="11">
        <f t="shared" si="48"/>
        <v>2321.4171211629464</v>
      </c>
      <c r="ET65" s="11">
        <f t="shared" si="49"/>
        <v>2579.5377443128159</v>
      </c>
      <c r="EU65" s="11">
        <f t="shared" si="50"/>
        <v>2370.184231967336</v>
      </c>
      <c r="EV65" s="11">
        <f t="shared" si="51"/>
        <v>2275.9329677231885</v>
      </c>
      <c r="EW65" s="11">
        <f t="shared" si="52"/>
        <v>2197.0003945662406</v>
      </c>
      <c r="EX65" s="11">
        <f t="shared" si="53"/>
        <v>2087.0321394465486</v>
      </c>
      <c r="EY65" s="11">
        <f t="shared" si="54"/>
        <v>2015.0971528768998</v>
      </c>
      <c r="EZ65" s="11">
        <f t="shared" si="55"/>
        <v>2046.0754046131551</v>
      </c>
      <c r="FA65" s="11">
        <f t="shared" si="56"/>
        <v>1986.5740255512387</v>
      </c>
      <c r="FB65" s="11">
        <f t="shared" si="57"/>
        <v>1944.5124748546814</v>
      </c>
      <c r="FC65" s="11">
        <f t="shared" si="58"/>
        <v>24722097.709491588</v>
      </c>
      <c r="FD65" s="11">
        <v>111599600</v>
      </c>
      <c r="FE65" s="11">
        <f t="shared" si="59"/>
        <v>136321697.70949158</v>
      </c>
    </row>
    <row r="66" spans="1:161" x14ac:dyDescent="0.3">
      <c r="A66" s="15">
        <v>2022</v>
      </c>
      <c r="B66" s="16">
        <f>MAX(IF($P6=1,B19,IF($P6=0,$B$18*(1+$F$5)-($B$18*$F$5)*$V6,B19-($B$3-1)*($B$18-B19)+($B$18*(1+$F$5)-(B19-($B$3-1)*($B$18-B19)))*(1-$P6))),0)</f>
        <v>479.40725000000003</v>
      </c>
      <c r="C66" s="16">
        <f t="shared" si="90"/>
        <v>374.61136284745885</v>
      </c>
      <c r="D66" s="16">
        <f t="shared" si="91"/>
        <v>252.34416763045414</v>
      </c>
      <c r="E66" s="16">
        <f t="shared" si="92"/>
        <v>265.0146752262429</v>
      </c>
      <c r="F66" s="16">
        <f t="shared" si="93"/>
        <v>230.04515057294608</v>
      </c>
      <c r="G66" s="16">
        <f t="shared" si="94"/>
        <v>208.89267189877546</v>
      </c>
      <c r="H66" s="59">
        <f t="shared" si="95"/>
        <v>191.5197167516701</v>
      </c>
      <c r="I66" s="59">
        <f t="shared" si="96"/>
        <v>176.7997860198561</v>
      </c>
      <c r="J66" s="59">
        <f t="shared" si="97"/>
        <v>164.45651965200651</v>
      </c>
      <c r="K66" s="59">
        <f t="shared" si="98"/>
        <v>159.88097447651694</v>
      </c>
      <c r="L66" s="59">
        <f t="shared" si="99"/>
        <v>148.81025371193661</v>
      </c>
      <c r="M66" s="18">
        <f t="shared" si="100"/>
        <v>385.358</v>
      </c>
      <c r="N66" s="18">
        <f t="shared" si="101"/>
        <v>479.40725000000003</v>
      </c>
      <c r="O66" s="18">
        <f t="shared" si="102"/>
        <v>479.40725000000003</v>
      </c>
      <c r="P66" s="56"/>
      <c r="R66" s="24">
        <v>2022</v>
      </c>
      <c r="S66" s="23">
        <f t="shared" ref="S66:AB66" si="143">MIN(IF($R6=1,S$19,IF($R6=0,S$18*(1+$H$5)-(S$18*$H$5)*$X6,S$19-($D$3-1)*(S$18-S$19)+(S$18*(1+$H$5)-(S$19-($D$3-1)*(S$18-S$19)))*(1-$R6))),1)</f>
        <v>0.78140529340651155</v>
      </c>
      <c r="T66" s="23">
        <f t="shared" si="143"/>
        <v>0.84201986597643674</v>
      </c>
      <c r="U66" s="23">
        <f t="shared" si="143"/>
        <v>0.86615358049561486</v>
      </c>
      <c r="V66" s="23">
        <f t="shared" si="143"/>
        <v>0.88364932114227812</v>
      </c>
      <c r="W66" s="23">
        <f t="shared" si="143"/>
        <v>0.89554007089515686</v>
      </c>
      <c r="X66" s="60">
        <f t="shared" si="143"/>
        <v>0.90384908371160144</v>
      </c>
      <c r="Y66" s="60">
        <f t="shared" si="143"/>
        <v>0.91214938010898494</v>
      </c>
      <c r="Z66" s="60">
        <f t="shared" si="143"/>
        <v>0.91921334653621301</v>
      </c>
      <c r="AA66" s="60">
        <f t="shared" si="143"/>
        <v>0.92537334076076772</v>
      </c>
      <c r="AB66" s="60">
        <f t="shared" si="143"/>
        <v>0.93107134918860956</v>
      </c>
      <c r="AC66" s="60">
        <f t="shared" si="115"/>
        <v>0.8738298206816032</v>
      </c>
      <c r="AD66" s="23">
        <f t="shared" si="116"/>
        <v>86.857268481554044</v>
      </c>
      <c r="AE66" s="22">
        <f t="shared" si="117"/>
        <v>87.382982068160317</v>
      </c>
      <c r="AF66" s="22">
        <f t="shared" si="104"/>
        <v>87.382982068160317</v>
      </c>
      <c r="AH66" s="11">
        <v>2022</v>
      </c>
      <c r="AI66" s="13">
        <f t="shared" si="118"/>
        <v>6.0464960686692457</v>
      </c>
      <c r="AJ66" s="13">
        <f t="shared" ref="AJ66:AJ74" si="144">IF($Q5=1,AJ$19,IF($Q5=0,AJ$18*(1+$G$5)-(AJ$18*$G$5)*$W5,AJ$19-($C$3-1)*(AJ$18-AJ$19)+(AJ$18*(1+$G$5)-(AJ$19-($C$3-1)*(AJ$18-AJ$19)))*$Q5))</f>
        <v>7.7460848474990849</v>
      </c>
      <c r="AK66" s="13">
        <f>IF($Q4=1,AK$19,IF($Q4=0,AK$18*(1+$G$5)-(AK$18*$G$5)*$W4,AK$19-($C$3-1)*(AK$18-AK$19)+(AK$18*(1+$G$5)-(AK$19-($C$3-1)*(AK$18-AK$19)))*$Q4))</f>
        <v>7.5876864789372682</v>
      </c>
      <c r="AL66" s="13">
        <f t="shared" si="86"/>
        <v>9.1043505257283908</v>
      </c>
      <c r="AM66" s="13">
        <f t="shared" si="86"/>
        <v>9.757111883058819</v>
      </c>
      <c r="AN66" s="13">
        <f t="shared" si="86"/>
        <v>10.368419644842689</v>
      </c>
      <c r="AO66" s="66">
        <f t="shared" si="86"/>
        <v>10.767462535559279</v>
      </c>
      <c r="AP66" s="66">
        <f t="shared" si="86"/>
        <v>11.263184952539948</v>
      </c>
      <c r="AQ66" s="66">
        <f t="shared" si="86"/>
        <v>11.842457420682109</v>
      </c>
      <c r="AR66" s="66">
        <f t="shared" si="86"/>
        <v>12.429534337153493</v>
      </c>
      <c r="AS66" s="66">
        <f t="shared" si="86"/>
        <v>13.089331639734455</v>
      </c>
      <c r="AT66" s="66">
        <f t="shared" si="65"/>
        <v>8.1569359535725461</v>
      </c>
      <c r="AU66" s="13">
        <f t="shared" si="119"/>
        <v>6.2461036231244709</v>
      </c>
      <c r="AV66" s="13">
        <f t="shared" si="120"/>
        <v>6.0464960686692457</v>
      </c>
      <c r="AW66" s="13">
        <f t="shared" si="121"/>
        <v>6.0464960686692457</v>
      </c>
      <c r="AY66" s="36">
        <v>2022</v>
      </c>
      <c r="AZ66" s="37">
        <f t="shared" si="14"/>
        <v>2898.7340524165343</v>
      </c>
      <c r="BA66" s="37">
        <f t="shared" si="15"/>
        <v>2901.7714014536828</v>
      </c>
      <c r="BB66" s="37">
        <f t="shared" si="60"/>
        <v>1914.7084287682762</v>
      </c>
      <c r="BC66" s="37">
        <f t="shared" si="61"/>
        <v>2412.7864977217832</v>
      </c>
      <c r="BD66" s="37">
        <f t="shared" si="62"/>
        <v>2244.5762722953477</v>
      </c>
      <c r="BE66" s="37">
        <f t="shared" si="63"/>
        <v>2165.8868829789417</v>
      </c>
      <c r="BF66" s="37">
        <f t="shared" si="66"/>
        <v>2062.1813749445328</v>
      </c>
      <c r="BG66" s="37">
        <f t="shared" si="67"/>
        <v>1991.328689511126</v>
      </c>
      <c r="BH66" s="37">
        <f t="shared" si="68"/>
        <v>1947.5693315324575</v>
      </c>
      <c r="BI66" s="37">
        <f t="shared" si="69"/>
        <v>1987.2460621134285</v>
      </c>
      <c r="BJ66" s="37">
        <f t="shared" si="70"/>
        <v>1947.8267622285634</v>
      </c>
      <c r="BK66" s="36">
        <f t="shared" si="16"/>
        <v>24474615.755964674</v>
      </c>
      <c r="BL66" s="40">
        <f t="shared" si="74"/>
        <v>113754900</v>
      </c>
      <c r="BM66" s="38">
        <f t="shared" si="17"/>
        <v>138229515.75596467</v>
      </c>
      <c r="BN66" s="38">
        <v>139492456.60607538</v>
      </c>
      <c r="BO66" s="39">
        <f t="shared" si="18"/>
        <v>138708192.86315674</v>
      </c>
      <c r="BP66" s="39">
        <f t="shared" si="19"/>
        <v>138442261.13693893</v>
      </c>
      <c r="BQ66" s="39">
        <f t="shared" si="20"/>
        <v>138747847.7726655</v>
      </c>
      <c r="BR66" s="39">
        <f t="shared" si="105"/>
        <v>-0.78426374291864043</v>
      </c>
      <c r="BS66" s="68">
        <f t="shared" si="106"/>
        <v>-1.2629408501107096</v>
      </c>
      <c r="BT66" s="68">
        <f t="shared" si="107"/>
        <v>-0.78426374291864043</v>
      </c>
      <c r="BU66" s="68">
        <f t="shared" si="108"/>
        <v>-1.0501954691364468</v>
      </c>
      <c r="BV66" s="68">
        <f t="shared" si="109"/>
        <v>-0.7446088334098756</v>
      </c>
      <c r="BW66" s="44"/>
      <c r="BX66" s="15">
        <v>2022</v>
      </c>
      <c r="BY66" s="16">
        <f t="shared" si="110"/>
        <v>479.40725000000003</v>
      </c>
      <c r="BZ66" s="16">
        <f t="shared" si="122"/>
        <v>374.61136284745885</v>
      </c>
      <c r="CA66" s="16">
        <f t="shared" si="123"/>
        <v>315.43020953806763</v>
      </c>
      <c r="CB66" s="16">
        <f t="shared" si="124"/>
        <v>265.0146752262429</v>
      </c>
      <c r="CC66" s="16">
        <f t="shared" si="125"/>
        <v>230.04515057294608</v>
      </c>
      <c r="CD66" s="16">
        <f t="shared" si="126"/>
        <v>208.89267189877546</v>
      </c>
      <c r="CE66" s="59">
        <f t="shared" si="127"/>
        <v>191.5197167516701</v>
      </c>
      <c r="CF66" s="59">
        <f t="shared" si="128"/>
        <v>176.7997860198561</v>
      </c>
      <c r="CG66" s="59">
        <f t="shared" si="129"/>
        <v>164.45651965200651</v>
      </c>
      <c r="CH66" s="59">
        <f t="shared" si="130"/>
        <v>159.88097447651694</v>
      </c>
      <c r="CI66" s="59">
        <f t="shared" si="131"/>
        <v>148.81025371193661</v>
      </c>
      <c r="CK66" s="21">
        <v>2022</v>
      </c>
      <c r="CL66" s="24">
        <f t="shared" si="132"/>
        <v>479.40725000000003</v>
      </c>
      <c r="CM66" s="24">
        <f t="shared" si="133"/>
        <v>374.61136284745885</v>
      </c>
      <c r="CN66" s="24">
        <f t="shared" si="134"/>
        <v>252.34416763045414</v>
      </c>
      <c r="CO66" s="24">
        <f t="shared" si="135"/>
        <v>273.21100538787931</v>
      </c>
      <c r="CP66" s="24">
        <f t="shared" si="136"/>
        <v>237.15994904427433</v>
      </c>
      <c r="CQ66" s="24">
        <f t="shared" si="137"/>
        <v>215.3532699987376</v>
      </c>
      <c r="CR66" s="5">
        <f t="shared" si="138"/>
        <v>197.44300696048464</v>
      </c>
      <c r="CS66" s="5">
        <f t="shared" si="139"/>
        <v>182.26782063902695</v>
      </c>
      <c r="CT66" s="5">
        <f t="shared" si="140"/>
        <v>169.54280376495515</v>
      </c>
      <c r="CU66" s="5">
        <f t="shared" si="141"/>
        <v>164.82574688300718</v>
      </c>
      <c r="CV66" s="5">
        <f t="shared" si="142"/>
        <v>153.41263269271815</v>
      </c>
      <c r="CX66" s="11">
        <v>2022</v>
      </c>
      <c r="CY66" s="13">
        <f t="shared" si="113"/>
        <v>6.0464960686692457</v>
      </c>
      <c r="CZ66" s="13">
        <f t="shared" si="89"/>
        <v>7.7460848474990849</v>
      </c>
      <c r="DA66" s="13">
        <f t="shared" si="89"/>
        <v>8.4307627543747419</v>
      </c>
      <c r="DB66" s="13">
        <f t="shared" si="89"/>
        <v>9.1043505257283908</v>
      </c>
      <c r="DC66" s="13">
        <f t="shared" si="89"/>
        <v>9.757111883058819</v>
      </c>
      <c r="DD66" s="13">
        <f t="shared" si="89"/>
        <v>10.368419644842689</v>
      </c>
      <c r="DE66" s="66">
        <f t="shared" si="89"/>
        <v>10.767462535559279</v>
      </c>
      <c r="DF66" s="66">
        <f t="shared" si="89"/>
        <v>11.263184952539948</v>
      </c>
      <c r="DG66" s="66">
        <f t="shared" si="89"/>
        <v>11.842457420682109</v>
      </c>
      <c r="DH66" s="66">
        <f t="shared" si="89"/>
        <v>12.429534337153493</v>
      </c>
      <c r="DI66" s="66">
        <f t="shared" si="89"/>
        <v>13.089331639734455</v>
      </c>
      <c r="DK66" s="15">
        <v>2022</v>
      </c>
      <c r="DL66" s="16">
        <f t="shared" si="21"/>
        <v>2898.7340524165343</v>
      </c>
      <c r="DM66" s="16">
        <f t="shared" si="22"/>
        <v>2901.7714014536828</v>
      </c>
      <c r="DN66" s="16">
        <f t="shared" si="23"/>
        <v>2393.3855359603449</v>
      </c>
      <c r="DO66" s="16">
        <f t="shared" si="24"/>
        <v>2412.7864977217832</v>
      </c>
      <c r="DP66" s="16">
        <f t="shared" si="25"/>
        <v>2244.5762722953477</v>
      </c>
      <c r="DQ66" s="16">
        <f t="shared" si="26"/>
        <v>2165.8868829789417</v>
      </c>
      <c r="DR66" s="16">
        <f t="shared" si="27"/>
        <v>2062.1813749445328</v>
      </c>
      <c r="DS66" s="16">
        <f t="shared" si="28"/>
        <v>1991.328689511126</v>
      </c>
      <c r="DT66" s="16">
        <f t="shared" si="29"/>
        <v>1947.5693315324575</v>
      </c>
      <c r="DU66" s="16">
        <f t="shared" si="30"/>
        <v>1987.2460621134285</v>
      </c>
      <c r="DV66" s="16">
        <f t="shared" si="31"/>
        <v>1947.8267622285634</v>
      </c>
      <c r="DW66" s="15">
        <f t="shared" si="32"/>
        <v>24953292.86315674</v>
      </c>
      <c r="DX66" s="15">
        <v>113754900</v>
      </c>
      <c r="DY66" s="15">
        <f t="shared" si="33"/>
        <v>138708192.86315674</v>
      </c>
      <c r="EA66" s="21">
        <v>2022</v>
      </c>
      <c r="EB66" s="24">
        <f t="shared" si="34"/>
        <v>2898.7340524165343</v>
      </c>
      <c r="EC66" s="24">
        <f t="shared" si="35"/>
        <v>2901.7714014536828</v>
      </c>
      <c r="ED66" s="24">
        <f t="shared" si="36"/>
        <v>1914.7084287682762</v>
      </c>
      <c r="EE66" s="24">
        <f t="shared" si="37"/>
        <v>2487.4087605379214</v>
      </c>
      <c r="EF66" s="24">
        <f t="shared" si="38"/>
        <v>2313.9961570055129</v>
      </c>
      <c r="EG66" s="24">
        <f t="shared" si="39"/>
        <v>2232.8730752360225</v>
      </c>
      <c r="EH66" s="24">
        <f t="shared" si="40"/>
        <v>2125.9601803551882</v>
      </c>
      <c r="EI66" s="24">
        <f t="shared" si="41"/>
        <v>2052.9161747537387</v>
      </c>
      <c r="EJ66" s="24">
        <f t="shared" si="42"/>
        <v>2007.8034345695437</v>
      </c>
      <c r="EK66" s="24">
        <f t="shared" si="43"/>
        <v>2048.7072805293083</v>
      </c>
      <c r="EL66" s="24">
        <f t="shared" si="44"/>
        <v>2008.0688270397561</v>
      </c>
      <c r="EM66" s="21">
        <f t="shared" si="45"/>
        <v>24992947.772665486</v>
      </c>
      <c r="EN66" s="21">
        <v>113754900</v>
      </c>
      <c r="EO66" s="21">
        <f t="shared" si="46"/>
        <v>138747847.7726655</v>
      </c>
      <c r="EQ66" s="11">
        <v>2022</v>
      </c>
      <c r="ER66" s="11">
        <f t="shared" si="47"/>
        <v>2898.7340524165343</v>
      </c>
      <c r="ES66" s="11">
        <f t="shared" si="48"/>
        <v>2901.7714014536828</v>
      </c>
      <c r="ET66" s="11">
        <f t="shared" si="49"/>
        <v>2127.4538097425293</v>
      </c>
      <c r="EU66" s="11">
        <f t="shared" si="50"/>
        <v>2412.7864977217832</v>
      </c>
      <c r="EV66" s="11">
        <f t="shared" si="51"/>
        <v>2244.5762722953477</v>
      </c>
      <c r="EW66" s="11">
        <f t="shared" si="52"/>
        <v>2165.8868829789417</v>
      </c>
      <c r="EX66" s="11">
        <f t="shared" si="53"/>
        <v>2062.1813749445328</v>
      </c>
      <c r="EY66" s="11">
        <f t="shared" si="54"/>
        <v>1991.328689511126</v>
      </c>
      <c r="EZ66" s="11">
        <f t="shared" si="55"/>
        <v>1947.5693315324575</v>
      </c>
      <c r="FA66" s="11">
        <f t="shared" si="56"/>
        <v>1987.2460621134285</v>
      </c>
      <c r="FB66" s="11">
        <f t="shared" si="57"/>
        <v>1947.8267622285634</v>
      </c>
      <c r="FC66" s="11">
        <f t="shared" si="58"/>
        <v>24687361.136938926</v>
      </c>
      <c r="FD66" s="11">
        <v>113754900</v>
      </c>
      <c r="FE66" s="11">
        <f t="shared" si="59"/>
        <v>138442261.13693893</v>
      </c>
    </row>
    <row r="67" spans="1:161" x14ac:dyDescent="0.3">
      <c r="A67" s="15">
        <v>2023</v>
      </c>
      <c r="B67" s="16">
        <f>MAX(IF($P7=1,B19,IF($P7=0,$B$18*(1+$F$5)-($B$18*$F$5)*$V7,B19-($B$3-1)*($B$18-B19)+($B$18*(1+$F$5)-(B19-($B$3-1)*($B$18-B19)))*(1-$P7))),0)</f>
        <v>479.40725000000003</v>
      </c>
      <c r="C67" s="16">
        <f t="shared" si="90"/>
        <v>374.61136284745885</v>
      </c>
      <c r="D67" s="16">
        <f t="shared" si="91"/>
        <v>315.43020953806763</v>
      </c>
      <c r="E67" s="16">
        <f t="shared" si="92"/>
        <v>218.56880431030348</v>
      </c>
      <c r="F67" s="16">
        <f t="shared" si="93"/>
        <v>234.18003785641085</v>
      </c>
      <c r="G67" s="16">
        <f t="shared" si="94"/>
        <v>206.01465045318318</v>
      </c>
      <c r="H67" s="59">
        <f t="shared" si="95"/>
        <v>188.80745008977641</v>
      </c>
      <c r="I67" s="59">
        <f t="shared" si="96"/>
        <v>174.69459091368427</v>
      </c>
      <c r="J67" s="59">
        <f t="shared" si="97"/>
        <v>162.5167229741983</v>
      </c>
      <c r="K67" s="59">
        <f t="shared" si="98"/>
        <v>152.1836790002661</v>
      </c>
      <c r="L67" s="59">
        <f t="shared" si="99"/>
        <v>148.86059461544028</v>
      </c>
      <c r="M67" s="18">
        <f t="shared" si="100"/>
        <v>398.36399999999998</v>
      </c>
      <c r="N67" s="18">
        <f t="shared" si="101"/>
        <v>479.40725000000003</v>
      </c>
      <c r="O67" s="18">
        <f t="shared" si="102"/>
        <v>479.40725000000003</v>
      </c>
      <c r="P67" s="56"/>
      <c r="R67" s="24">
        <v>2023</v>
      </c>
      <c r="S67" s="23">
        <f t="shared" ref="S67:AB67" si="145">MIN(IF($R7=1,S$19,IF($R7=0,S$18*(1+$H$5)-(S$18*$H$5)*$X7,S$19-($D$3-1)*(S$18-S$19)+(S$18*(1+$H$5)-(S$19-($D$3-1)*(S$18-S$19)))*(1-$R7))),1)</f>
        <v>0.78140529340651155</v>
      </c>
      <c r="T67" s="23">
        <f t="shared" si="145"/>
        <v>0.84201986597643674</v>
      </c>
      <c r="U67" s="23">
        <f t="shared" si="145"/>
        <v>0.86615358049561486</v>
      </c>
      <c r="V67" s="23">
        <f t="shared" si="145"/>
        <v>0.88364932114227812</v>
      </c>
      <c r="W67" s="23">
        <f t="shared" si="145"/>
        <v>0.89554007089515686</v>
      </c>
      <c r="X67" s="60">
        <f t="shared" si="145"/>
        <v>0.90384908371160144</v>
      </c>
      <c r="Y67" s="60">
        <f t="shared" si="145"/>
        <v>0.91214938010898494</v>
      </c>
      <c r="Z67" s="60">
        <f t="shared" si="145"/>
        <v>0.91921334653621301</v>
      </c>
      <c r="AA67" s="60">
        <f t="shared" si="145"/>
        <v>0.92537334076076772</v>
      </c>
      <c r="AB67" s="60">
        <f t="shared" si="145"/>
        <v>0.93107134918860956</v>
      </c>
      <c r="AC67" s="60">
        <f t="shared" si="115"/>
        <v>0.8738298206816032</v>
      </c>
      <c r="AD67" s="23">
        <f t="shared" si="116"/>
        <v>87.304399354837855</v>
      </c>
      <c r="AE67" s="22">
        <f t="shared" si="117"/>
        <v>87.382982068160317</v>
      </c>
      <c r="AF67" s="22">
        <f t="shared" si="104"/>
        <v>87.382982068160317</v>
      </c>
      <c r="AH67" s="11">
        <v>2023</v>
      </c>
      <c r="AI67" s="13">
        <f t="shared" si="118"/>
        <v>6.0464960686692457</v>
      </c>
      <c r="AJ67" s="13">
        <f t="shared" si="144"/>
        <v>7.7460848474990849</v>
      </c>
      <c r="AK67" s="13">
        <f t="shared" ref="AK67:AK74" si="146">IF($Q5=1,AK$19,IF($Q5=0,AK$18*(1+$G$5)-(AK$18*$G$5)*$W5,AK$19-($C$3-1)*(AK$18-AK$19)+(AK$18*(1+$G$5)-(AK$19-($C$3-1)*(AK$18-AK$19)))*$Q5))</f>
        <v>8.4307627543747419</v>
      </c>
      <c r="AL67" s="13">
        <f>IF($Q4=1,AL$19,IF($Q4=0,AL$18*(1+$G$5)-(AL$18*$G$5)*$W4,AL$19-($C$3-1)*(AL$18-AL$19)+(AL$18*(1+$G$5)-(AL$19-($C$3-1)*(AL$18-AL$19)))*$Q4))</f>
        <v>8.1939154731555526</v>
      </c>
      <c r="AM67" s="13">
        <f t="shared" si="86"/>
        <v>9.757111883058819</v>
      </c>
      <c r="AN67" s="13">
        <f t="shared" si="86"/>
        <v>10.368419644842689</v>
      </c>
      <c r="AO67" s="66">
        <f t="shared" si="86"/>
        <v>10.767462535559279</v>
      </c>
      <c r="AP67" s="66">
        <f t="shared" si="86"/>
        <v>11.263184952539948</v>
      </c>
      <c r="AQ67" s="66">
        <f t="shared" si="86"/>
        <v>11.842457420682109</v>
      </c>
      <c r="AR67" s="66">
        <f t="shared" si="86"/>
        <v>12.429534337153493</v>
      </c>
      <c r="AS67" s="66">
        <f t="shared" si="86"/>
        <v>13.089331639734455</v>
      </c>
      <c r="AT67" s="66">
        <f t="shared" si="65"/>
        <v>8.1600565503890792</v>
      </c>
      <c r="AU67" s="13">
        <f t="shared" si="119"/>
        <v>5.8203627837856837</v>
      </c>
      <c r="AV67" s="13">
        <f t="shared" si="120"/>
        <v>6.0464960686692457</v>
      </c>
      <c r="AW67" s="13">
        <f t="shared" si="121"/>
        <v>6.0464960686692457</v>
      </c>
      <c r="AY67" s="36">
        <v>2023</v>
      </c>
      <c r="AZ67" s="37">
        <f t="shared" si="14"/>
        <v>2898.7340524165343</v>
      </c>
      <c r="BA67" s="37">
        <f t="shared" si="15"/>
        <v>2901.7714014536828</v>
      </c>
      <c r="BB67" s="37">
        <f t="shared" si="60"/>
        <v>2659.3172621781609</v>
      </c>
      <c r="BC67" s="37">
        <f t="shared" si="61"/>
        <v>1790.9343075873037</v>
      </c>
      <c r="BD67" s="37">
        <f t="shared" si="62"/>
        <v>2284.9208301439503</v>
      </c>
      <c r="BE67" s="37">
        <f t="shared" si="63"/>
        <v>2136.0463488841842</v>
      </c>
      <c r="BF67" s="37">
        <f t="shared" si="66"/>
        <v>2032.9771452761458</v>
      </c>
      <c r="BG67" s="37">
        <f t="shared" si="67"/>
        <v>1967.6174876691305</v>
      </c>
      <c r="BH67" s="37">
        <f t="shared" si="68"/>
        <v>1924.5973719707333</v>
      </c>
      <c r="BI67" s="37">
        <f t="shared" si="69"/>
        <v>1891.5722636881524</v>
      </c>
      <c r="BJ67" s="37">
        <f t="shared" si="70"/>
        <v>1948.4856910095668</v>
      </c>
      <c r="BK67" s="36">
        <f t="shared" si="16"/>
        <v>24436974.162277538</v>
      </c>
      <c r="BL67" s="40">
        <f t="shared" si="74"/>
        <v>115910200</v>
      </c>
      <c r="BM67" s="38">
        <f t="shared" si="17"/>
        <v>140347174.16227755</v>
      </c>
      <c r="BN67" s="38">
        <v>141482397.59889752</v>
      </c>
      <c r="BO67" s="39">
        <f t="shared" si="18"/>
        <v>140794907.73917437</v>
      </c>
      <c r="BP67" s="39">
        <f t="shared" si="19"/>
        <v>140546166.86312059</v>
      </c>
      <c r="BQ67" s="39">
        <f t="shared" si="20"/>
        <v>140785923.14594689</v>
      </c>
      <c r="BR67" s="39">
        <f t="shared" si="105"/>
        <v>-0.68748985972315069</v>
      </c>
      <c r="BS67" s="68">
        <f t="shared" si="106"/>
        <v>-1.1352234366199672</v>
      </c>
      <c r="BT67" s="68">
        <f t="shared" si="107"/>
        <v>-0.68748985972315069</v>
      </c>
      <c r="BU67" s="68">
        <f t="shared" si="108"/>
        <v>-0.93623073577693106</v>
      </c>
      <c r="BV67" s="68">
        <f t="shared" si="109"/>
        <v>-0.6964744529506266</v>
      </c>
      <c r="BW67" s="44"/>
      <c r="BX67" s="15">
        <v>2023</v>
      </c>
      <c r="BY67" s="16">
        <f t="shared" si="110"/>
        <v>479.40725000000003</v>
      </c>
      <c r="BZ67" s="16">
        <f t="shared" si="122"/>
        <v>374.61136284745885</v>
      </c>
      <c r="CA67" s="16">
        <f t="shared" si="123"/>
        <v>315.43020953806763</v>
      </c>
      <c r="CB67" s="16">
        <f t="shared" si="124"/>
        <v>273.21100538787931</v>
      </c>
      <c r="CC67" s="16">
        <f t="shared" si="125"/>
        <v>234.18003785641085</v>
      </c>
      <c r="CD67" s="16">
        <f t="shared" si="126"/>
        <v>206.01465045318318</v>
      </c>
      <c r="CE67" s="59">
        <f t="shared" si="127"/>
        <v>188.80745008977641</v>
      </c>
      <c r="CF67" s="59">
        <f t="shared" si="128"/>
        <v>174.69459091368427</v>
      </c>
      <c r="CG67" s="59">
        <f t="shared" si="129"/>
        <v>162.5167229741983</v>
      </c>
      <c r="CH67" s="59">
        <f t="shared" si="130"/>
        <v>152.1836790002661</v>
      </c>
      <c r="CI67" s="59">
        <f t="shared" si="131"/>
        <v>148.86059461544028</v>
      </c>
      <c r="CK67" s="21">
        <v>2023</v>
      </c>
      <c r="CL67" s="24">
        <f t="shared" si="132"/>
        <v>479.40725000000003</v>
      </c>
      <c r="CM67" s="24">
        <f t="shared" si="133"/>
        <v>374.61136284745885</v>
      </c>
      <c r="CN67" s="24">
        <f t="shared" si="134"/>
        <v>315.43020953806763</v>
      </c>
      <c r="CO67" s="24">
        <f t="shared" si="135"/>
        <v>218.56880431030348</v>
      </c>
      <c r="CP67" s="24">
        <f t="shared" si="136"/>
        <v>241.42271943959884</v>
      </c>
      <c r="CQ67" s="24">
        <f t="shared" si="137"/>
        <v>212.38623758060123</v>
      </c>
      <c r="CR67" s="5">
        <f t="shared" si="138"/>
        <v>194.64685576265609</v>
      </c>
      <c r="CS67" s="5">
        <f t="shared" si="139"/>
        <v>180.09751640586006</v>
      </c>
      <c r="CT67" s="5">
        <f t="shared" si="140"/>
        <v>167.54301337546221</v>
      </c>
      <c r="CU67" s="5">
        <f t="shared" si="141"/>
        <v>156.89039072192381</v>
      </c>
      <c r="CV67" s="5">
        <f t="shared" si="142"/>
        <v>153.46453053138177</v>
      </c>
      <c r="CX67" s="11">
        <v>2023</v>
      </c>
      <c r="CY67" s="13">
        <f t="shared" si="113"/>
        <v>6.0464960686692457</v>
      </c>
      <c r="CZ67" s="13">
        <f t="shared" si="89"/>
        <v>7.7460848474990849</v>
      </c>
      <c r="DA67" s="13">
        <f t="shared" si="89"/>
        <v>8.4307627543747419</v>
      </c>
      <c r="DB67" s="13">
        <f t="shared" si="89"/>
        <v>9.1043505257283908</v>
      </c>
      <c r="DC67" s="13">
        <f t="shared" si="89"/>
        <v>9.757111883058819</v>
      </c>
      <c r="DD67" s="13">
        <f t="shared" si="89"/>
        <v>10.368419644842689</v>
      </c>
      <c r="DE67" s="66">
        <f t="shared" si="89"/>
        <v>10.767462535559279</v>
      </c>
      <c r="DF67" s="66">
        <f t="shared" si="89"/>
        <v>11.263184952539948</v>
      </c>
      <c r="DG67" s="66">
        <f t="shared" si="89"/>
        <v>11.842457420682109</v>
      </c>
      <c r="DH67" s="66">
        <f t="shared" si="89"/>
        <v>12.429534337153493</v>
      </c>
      <c r="DI67" s="66">
        <f t="shared" si="89"/>
        <v>13.089331639734455</v>
      </c>
      <c r="DK67" s="15">
        <v>2023</v>
      </c>
      <c r="DL67" s="16">
        <f t="shared" si="21"/>
        <v>2898.7340524165343</v>
      </c>
      <c r="DM67" s="16">
        <f t="shared" si="22"/>
        <v>2901.7714014536828</v>
      </c>
      <c r="DN67" s="16">
        <f t="shared" si="23"/>
        <v>2659.3172621781609</v>
      </c>
      <c r="DO67" s="16">
        <f t="shared" si="24"/>
        <v>2238.6678844841294</v>
      </c>
      <c r="DP67" s="16">
        <f t="shared" si="25"/>
        <v>2284.9208301439503</v>
      </c>
      <c r="DQ67" s="16">
        <f t="shared" si="26"/>
        <v>2136.0463488841842</v>
      </c>
      <c r="DR67" s="16">
        <f t="shared" si="27"/>
        <v>2032.9771452761458</v>
      </c>
      <c r="DS67" s="16">
        <f t="shared" si="28"/>
        <v>1967.6174876691305</v>
      </c>
      <c r="DT67" s="16">
        <f t="shared" si="29"/>
        <v>1924.5973719707333</v>
      </c>
      <c r="DU67" s="16">
        <f t="shared" si="30"/>
        <v>1891.5722636881524</v>
      </c>
      <c r="DV67" s="16">
        <f t="shared" si="31"/>
        <v>1948.4856910095668</v>
      </c>
      <c r="DW67" s="15">
        <f t="shared" si="32"/>
        <v>24884707.739174366</v>
      </c>
      <c r="DX67" s="15">
        <v>115910200</v>
      </c>
      <c r="DY67" s="15">
        <f t="shared" si="33"/>
        <v>140794907.73917437</v>
      </c>
      <c r="EA67" s="21">
        <v>2023</v>
      </c>
      <c r="EB67" s="24">
        <f t="shared" si="34"/>
        <v>2898.7340524165343</v>
      </c>
      <c r="EC67" s="24">
        <f t="shared" si="35"/>
        <v>2901.7714014536828</v>
      </c>
      <c r="ED67" s="24">
        <f t="shared" si="36"/>
        <v>2659.3172621781609</v>
      </c>
      <c r="EE67" s="24">
        <f t="shared" si="37"/>
        <v>1790.9343075873037</v>
      </c>
      <c r="EF67" s="24">
        <f t="shared" si="38"/>
        <v>2355.5884846844851</v>
      </c>
      <c r="EG67" s="24">
        <f t="shared" si="39"/>
        <v>2202.1096380249323</v>
      </c>
      <c r="EH67" s="24">
        <f t="shared" si="40"/>
        <v>2095.8527270888103</v>
      </c>
      <c r="EI67" s="24">
        <f t="shared" si="41"/>
        <v>2028.4716367722995</v>
      </c>
      <c r="EJ67" s="24">
        <f t="shared" si="42"/>
        <v>1984.1210020316844</v>
      </c>
      <c r="EK67" s="24">
        <f t="shared" si="43"/>
        <v>1950.0744986475797</v>
      </c>
      <c r="EL67" s="24">
        <f t="shared" si="44"/>
        <v>2008.7481350614096</v>
      </c>
      <c r="EM67" s="21">
        <f t="shared" si="45"/>
        <v>24875723.145946883</v>
      </c>
      <c r="EN67" s="21">
        <v>115910200</v>
      </c>
      <c r="EO67" s="21">
        <f t="shared" si="46"/>
        <v>140785923.14594689</v>
      </c>
      <c r="EQ67" s="11">
        <v>2023</v>
      </c>
      <c r="ER67" s="11">
        <f t="shared" si="47"/>
        <v>2898.7340524165343</v>
      </c>
      <c r="ES67" s="11">
        <f t="shared" si="48"/>
        <v>2901.7714014536828</v>
      </c>
      <c r="ET67" s="11">
        <f t="shared" si="49"/>
        <v>2659.3172621781609</v>
      </c>
      <c r="EU67" s="11">
        <f t="shared" si="50"/>
        <v>1989.9270084303373</v>
      </c>
      <c r="EV67" s="11">
        <f t="shared" si="51"/>
        <v>2284.9208301439503</v>
      </c>
      <c r="EW67" s="11">
        <f t="shared" si="52"/>
        <v>2136.0463488841842</v>
      </c>
      <c r="EX67" s="11">
        <f t="shared" si="53"/>
        <v>2032.9771452761458</v>
      </c>
      <c r="EY67" s="11">
        <f t="shared" si="54"/>
        <v>1967.6174876691305</v>
      </c>
      <c r="EZ67" s="11">
        <f t="shared" si="55"/>
        <v>1924.5973719707333</v>
      </c>
      <c r="FA67" s="11">
        <f t="shared" si="56"/>
        <v>1891.5722636881524</v>
      </c>
      <c r="FB67" s="11">
        <f t="shared" si="57"/>
        <v>1948.4856910095668</v>
      </c>
      <c r="FC67" s="11">
        <f t="shared" si="58"/>
        <v>24635966.863120575</v>
      </c>
      <c r="FD67" s="11">
        <v>115910200</v>
      </c>
      <c r="FE67" s="11">
        <f t="shared" si="59"/>
        <v>140546166.86312059</v>
      </c>
    </row>
    <row r="68" spans="1:161" x14ac:dyDescent="0.3">
      <c r="A68" s="15">
        <v>2024</v>
      </c>
      <c r="B68" s="16">
        <f>MAX(IF($P8=1,B19,IF($P8=0,$B$18*(1+$F$5)-($B$18*$F$5)*$V8,B19-($B$3-1)*($B$18-B19)+($B$18*(1+$F$5)-(B19-($B$3-1)*($B$18-B19)))*(1-$P8))),0)</f>
        <v>479.40725000000003</v>
      </c>
      <c r="C68" s="16">
        <f t="shared" si="90"/>
        <v>374.61136284745885</v>
      </c>
      <c r="D68" s="16">
        <f t="shared" si="91"/>
        <v>315.43020953806763</v>
      </c>
      <c r="E68" s="16">
        <f t="shared" si="92"/>
        <v>273.21100538787931</v>
      </c>
      <c r="F68" s="16">
        <f t="shared" si="93"/>
        <v>193.1381755516791</v>
      </c>
      <c r="G68" s="16">
        <f t="shared" si="94"/>
        <v>209.71760770416068</v>
      </c>
      <c r="H68" s="59">
        <f t="shared" si="95"/>
        <v>186.20615304327546</v>
      </c>
      <c r="I68" s="59">
        <f t="shared" si="96"/>
        <v>172.22059855934768</v>
      </c>
      <c r="J68" s="59">
        <f t="shared" si="97"/>
        <v>160.58159953554241</v>
      </c>
      <c r="K68" s="59">
        <f t="shared" si="98"/>
        <v>150.38864286812608</v>
      </c>
      <c r="L68" s="59">
        <f t="shared" si="99"/>
        <v>141.69386333126403</v>
      </c>
      <c r="M68" s="18">
        <f t="shared" si="100"/>
        <v>408.59100000000001</v>
      </c>
      <c r="N68" s="18">
        <f t="shared" si="101"/>
        <v>479.40725000000003</v>
      </c>
      <c r="O68" s="18">
        <f t="shared" si="102"/>
        <v>479.40725000000003</v>
      </c>
      <c r="P68" s="56"/>
      <c r="R68" s="24">
        <v>2024</v>
      </c>
      <c r="S68" s="23">
        <f t="shared" ref="S68:AB68" si="147">MIN(IF($R8=1,S$19,IF($R8=0,S$18*(1+$H$5)-(S$18*$H$5)*$X8,S$19-($D$3-1)*(S$18-S$19)+(S$18*(1+$H$5)-(S$19-($D$3-1)*(S$18-S$19)))*(1-$R8))),1)</f>
        <v>0.78140529340651155</v>
      </c>
      <c r="T68" s="23">
        <f t="shared" si="147"/>
        <v>0.84201986597643674</v>
      </c>
      <c r="U68" s="23">
        <f t="shared" si="147"/>
        <v>0.86615358049561486</v>
      </c>
      <c r="V68" s="23">
        <f t="shared" si="147"/>
        <v>0.88364932114227812</v>
      </c>
      <c r="W68" s="23">
        <f t="shared" si="147"/>
        <v>0.89554007089515686</v>
      </c>
      <c r="X68" s="60">
        <f t="shared" si="147"/>
        <v>0.90384908371160144</v>
      </c>
      <c r="Y68" s="60">
        <f t="shared" si="147"/>
        <v>0.91214938010898494</v>
      </c>
      <c r="Z68" s="60">
        <f t="shared" si="147"/>
        <v>0.91921334653621301</v>
      </c>
      <c r="AA68" s="60">
        <f t="shared" si="147"/>
        <v>0.92537334076076772</v>
      </c>
      <c r="AB68" s="60">
        <f t="shared" si="147"/>
        <v>0.93107134918860956</v>
      </c>
      <c r="AC68" s="60">
        <f t="shared" si="115"/>
        <v>0.8738298206816032</v>
      </c>
      <c r="AD68" s="23">
        <f t="shared" si="116"/>
        <v>88.725191020745427</v>
      </c>
      <c r="AE68" s="22">
        <f t="shared" si="117"/>
        <v>87.382982068160317</v>
      </c>
      <c r="AF68" s="22">
        <f t="shared" si="104"/>
        <v>87.382982068160317</v>
      </c>
      <c r="AH68" s="11">
        <v>2024</v>
      </c>
      <c r="AI68" s="13">
        <f t="shared" si="118"/>
        <v>6.0464960686692457</v>
      </c>
      <c r="AJ68" s="13">
        <f t="shared" si="144"/>
        <v>7.7460848474990849</v>
      </c>
      <c r="AK68" s="13">
        <f t="shared" si="146"/>
        <v>8.4307627543747419</v>
      </c>
      <c r="AL68" s="13">
        <f t="shared" ref="AL68:AL74" si="148">IF($Q5=1,AL$19,IF($Q5=0,AL$18*(1+$G$5)-(AL$18*$G$5)*$W5,AL$19-($C$3-1)*(AL$18-AL$19)+(AL$18*(1+$G$5)-(AL$19-($C$3-1)*(AL$18-AL$19)))*$Q5))</f>
        <v>9.1043505257283908</v>
      </c>
      <c r="AM68" s="13">
        <f>IF($Q4=1,AM$19,IF($Q4=0,AM$18*(1+$G$5)-(AM$18*$G$5)*$W4,AM$19-($C$3-1)*(AM$18-AM$19)+(AM$18*(1+$G$5)-(AM$19-($C$3-1)*(AM$18-AM$19)))*$Q4))</f>
        <v>8.7814006947529375</v>
      </c>
      <c r="AN68" s="13">
        <f t="shared" si="86"/>
        <v>10.368419644842689</v>
      </c>
      <c r="AO68" s="66">
        <f t="shared" si="86"/>
        <v>10.767462535559279</v>
      </c>
      <c r="AP68" s="66">
        <f t="shared" si="86"/>
        <v>11.263184952539948</v>
      </c>
      <c r="AQ68" s="66">
        <f t="shared" si="86"/>
        <v>11.842457420682109</v>
      </c>
      <c r="AR68" s="66">
        <f t="shared" si="86"/>
        <v>12.429534337153493</v>
      </c>
      <c r="AS68" s="66">
        <f t="shared" si="86"/>
        <v>13.089331639734455</v>
      </c>
      <c r="AT68" s="66">
        <f t="shared" si="65"/>
        <v>8.1635705116110557</v>
      </c>
      <c r="AU68" s="13">
        <f t="shared" si="119"/>
        <v>5.6418203044119917</v>
      </c>
      <c r="AV68" s="13">
        <f t="shared" si="120"/>
        <v>6.0464960686692457</v>
      </c>
      <c r="AW68" s="13">
        <f t="shared" si="121"/>
        <v>6.0464960686692457</v>
      </c>
      <c r="AY68" s="36">
        <v>2024</v>
      </c>
      <c r="AZ68" s="37">
        <f t="shared" si="14"/>
        <v>2898.7340524165343</v>
      </c>
      <c r="BA68" s="37">
        <f t="shared" si="15"/>
        <v>2901.7714014536828</v>
      </c>
      <c r="BB68" s="37">
        <f t="shared" si="60"/>
        <v>2659.3172621781609</v>
      </c>
      <c r="BC68" s="37">
        <f t="shared" si="61"/>
        <v>2487.4087605379214</v>
      </c>
      <c r="BD68" s="37">
        <f t="shared" si="62"/>
        <v>1696.0237089728296</v>
      </c>
      <c r="BE68" s="37">
        <f t="shared" si="63"/>
        <v>2174.4401635892323</v>
      </c>
      <c r="BF68" s="37">
        <f t="shared" si="66"/>
        <v>2004.967776784086</v>
      </c>
      <c r="BG68" s="37">
        <f t="shared" si="67"/>
        <v>1939.7524542110677</v>
      </c>
      <c r="BH68" s="37">
        <f t="shared" si="68"/>
        <v>1901.680755044687</v>
      </c>
      <c r="BI68" s="37">
        <f t="shared" si="69"/>
        <v>1869.260800447287</v>
      </c>
      <c r="BJ68" s="37">
        <f t="shared" si="70"/>
        <v>1854.677968458124</v>
      </c>
      <c r="BK68" s="36">
        <f t="shared" si="16"/>
        <v>24388035.104093608</v>
      </c>
      <c r="BL68" s="40">
        <f t="shared" si="74"/>
        <v>118065500</v>
      </c>
      <c r="BM68" s="38">
        <f t="shared" si="17"/>
        <v>142453535.10409361</v>
      </c>
      <c r="BN68" s="38">
        <v>143476340.49584243</v>
      </c>
      <c r="BO68" s="39">
        <f t="shared" si="18"/>
        <v>142877541.03133681</v>
      </c>
      <c r="BP68" s="39">
        <f t="shared" si="19"/>
        <v>142641982.18286836</v>
      </c>
      <c r="BQ68" s="39">
        <f t="shared" si="20"/>
        <v>142816775.72013077</v>
      </c>
      <c r="BR68" s="39">
        <f t="shared" si="105"/>
        <v>-0.59879946450561283</v>
      </c>
      <c r="BS68" s="68">
        <f t="shared" si="106"/>
        <v>-1.0228053917488158</v>
      </c>
      <c r="BT68" s="68">
        <f t="shared" si="107"/>
        <v>-0.59879946450561283</v>
      </c>
      <c r="BU68" s="68">
        <f t="shared" si="108"/>
        <v>-0.8343583129740656</v>
      </c>
      <c r="BV68" s="68">
        <f t="shared" si="109"/>
        <v>-0.65956477571165562</v>
      </c>
      <c r="BW68" s="44"/>
      <c r="BX68" s="15">
        <v>2024</v>
      </c>
      <c r="BY68" s="16">
        <f t="shared" si="110"/>
        <v>479.40725000000003</v>
      </c>
      <c r="BZ68" s="16">
        <f t="shared" si="122"/>
        <v>374.61136284745885</v>
      </c>
      <c r="CA68" s="16">
        <f t="shared" si="123"/>
        <v>315.43020953806763</v>
      </c>
      <c r="CB68" s="16">
        <f t="shared" si="124"/>
        <v>273.21100538787931</v>
      </c>
      <c r="CC68" s="16">
        <f t="shared" si="125"/>
        <v>241.42271943959884</v>
      </c>
      <c r="CD68" s="16">
        <f t="shared" si="126"/>
        <v>209.71760770416068</v>
      </c>
      <c r="CE68" s="59">
        <f t="shared" si="127"/>
        <v>186.20615304327546</v>
      </c>
      <c r="CF68" s="59">
        <f t="shared" si="128"/>
        <v>172.22059855934768</v>
      </c>
      <c r="CG68" s="59">
        <f t="shared" si="129"/>
        <v>160.58159953554241</v>
      </c>
      <c r="CH68" s="59">
        <f t="shared" si="130"/>
        <v>150.38864286812608</v>
      </c>
      <c r="CI68" s="59">
        <f t="shared" si="131"/>
        <v>141.69386333126403</v>
      </c>
      <c r="CK68" s="21">
        <v>2024</v>
      </c>
      <c r="CL68" s="24">
        <f t="shared" si="132"/>
        <v>479.40725000000003</v>
      </c>
      <c r="CM68" s="24">
        <f t="shared" si="133"/>
        <v>374.61136284745885</v>
      </c>
      <c r="CN68" s="24">
        <f t="shared" si="134"/>
        <v>315.43020953806763</v>
      </c>
      <c r="CO68" s="24">
        <f t="shared" si="135"/>
        <v>273.21100538787931</v>
      </c>
      <c r="CP68" s="24">
        <f t="shared" si="136"/>
        <v>193.1381755516791</v>
      </c>
      <c r="CQ68" s="24">
        <f t="shared" si="137"/>
        <v>216.2037192826399</v>
      </c>
      <c r="CR68" s="5">
        <f t="shared" si="138"/>
        <v>191.96510623018091</v>
      </c>
      <c r="CS68" s="5">
        <f t="shared" si="139"/>
        <v>177.54700882406976</v>
      </c>
      <c r="CT68" s="5">
        <f t="shared" si="140"/>
        <v>165.54804075829117</v>
      </c>
      <c r="CU68" s="5">
        <f t="shared" si="141"/>
        <v>155.03983800837744</v>
      </c>
      <c r="CV68" s="5">
        <f t="shared" si="142"/>
        <v>146.0761477641897</v>
      </c>
      <c r="CX68" s="11">
        <v>2024</v>
      </c>
      <c r="CY68" s="13">
        <f t="shared" si="113"/>
        <v>6.0464960686692457</v>
      </c>
      <c r="CZ68" s="13">
        <f t="shared" si="89"/>
        <v>7.7460848474990849</v>
      </c>
      <c r="DA68" s="13">
        <f t="shared" si="89"/>
        <v>8.4307627543747419</v>
      </c>
      <c r="DB68" s="13">
        <f t="shared" si="89"/>
        <v>9.1043505257283908</v>
      </c>
      <c r="DC68" s="13">
        <f t="shared" si="89"/>
        <v>9.757111883058819</v>
      </c>
      <c r="DD68" s="13">
        <f t="shared" si="89"/>
        <v>10.368419644842689</v>
      </c>
      <c r="DE68" s="66">
        <f t="shared" si="89"/>
        <v>10.767462535559279</v>
      </c>
      <c r="DF68" s="66">
        <f t="shared" si="89"/>
        <v>11.263184952539948</v>
      </c>
      <c r="DG68" s="66">
        <f t="shared" si="89"/>
        <v>11.842457420682109</v>
      </c>
      <c r="DH68" s="66">
        <f t="shared" si="89"/>
        <v>12.429534337153493</v>
      </c>
      <c r="DI68" s="66">
        <f t="shared" si="89"/>
        <v>13.089331639734455</v>
      </c>
      <c r="DK68" s="15">
        <v>2024</v>
      </c>
      <c r="DL68" s="16">
        <f t="shared" si="21"/>
        <v>2898.7340524165343</v>
      </c>
      <c r="DM68" s="16">
        <f t="shared" si="22"/>
        <v>2901.7714014536828</v>
      </c>
      <c r="DN68" s="16">
        <f t="shared" si="23"/>
        <v>2659.3172621781609</v>
      </c>
      <c r="DO68" s="16">
        <f t="shared" si="24"/>
        <v>2487.4087605379214</v>
      </c>
      <c r="DP68" s="16">
        <f t="shared" si="25"/>
        <v>2120.0296362160366</v>
      </c>
      <c r="DQ68" s="16">
        <f t="shared" si="26"/>
        <v>2174.4401635892323</v>
      </c>
      <c r="DR68" s="16">
        <f t="shared" si="27"/>
        <v>2004.967776784086</v>
      </c>
      <c r="DS68" s="16">
        <f t="shared" si="28"/>
        <v>1939.7524542110677</v>
      </c>
      <c r="DT68" s="16">
        <f t="shared" si="29"/>
        <v>1901.680755044687</v>
      </c>
      <c r="DU68" s="16">
        <f t="shared" si="30"/>
        <v>1869.260800447287</v>
      </c>
      <c r="DV68" s="16">
        <f t="shared" si="31"/>
        <v>1854.677968458124</v>
      </c>
      <c r="DW68" s="15">
        <f t="shared" si="32"/>
        <v>24812041.031336818</v>
      </c>
      <c r="DX68" s="15">
        <v>118065500</v>
      </c>
      <c r="DY68" s="15">
        <f t="shared" si="33"/>
        <v>142877541.03133681</v>
      </c>
      <c r="EA68" s="21">
        <v>2024</v>
      </c>
      <c r="EB68" s="24">
        <f t="shared" si="34"/>
        <v>2898.7340524165343</v>
      </c>
      <c r="EC68" s="24">
        <f t="shared" si="35"/>
        <v>2901.7714014536828</v>
      </c>
      <c r="ED68" s="24">
        <f t="shared" si="36"/>
        <v>2659.3172621781609</v>
      </c>
      <c r="EE68" s="24">
        <f t="shared" si="37"/>
        <v>2487.4087605379214</v>
      </c>
      <c r="EF68" s="24">
        <f t="shared" si="38"/>
        <v>1696.0237089728296</v>
      </c>
      <c r="EG68" s="24">
        <f t="shared" si="39"/>
        <v>2241.6908902981777</v>
      </c>
      <c r="EH68" s="24">
        <f t="shared" si="40"/>
        <v>2066.9770894681301</v>
      </c>
      <c r="EI68" s="24">
        <f t="shared" si="41"/>
        <v>1999.74479815574</v>
      </c>
      <c r="EJ68" s="24">
        <f t="shared" si="42"/>
        <v>1960.4956237574095</v>
      </c>
      <c r="EK68" s="24">
        <f t="shared" si="43"/>
        <v>1927.0729901518428</v>
      </c>
      <c r="EL68" s="24">
        <f t="shared" si="44"/>
        <v>1912.0391427403338</v>
      </c>
      <c r="EM68" s="21">
        <f t="shared" si="45"/>
        <v>24751275.72013076</v>
      </c>
      <c r="EN68" s="21">
        <v>118065500</v>
      </c>
      <c r="EO68" s="21">
        <f t="shared" si="46"/>
        <v>142816775.72013077</v>
      </c>
      <c r="EQ68" s="11">
        <v>2024</v>
      </c>
      <c r="ER68" s="11">
        <f t="shared" si="47"/>
        <v>2898.7340524165343</v>
      </c>
      <c r="ES68" s="11">
        <f t="shared" si="48"/>
        <v>2901.7714014536828</v>
      </c>
      <c r="ET68" s="11">
        <f t="shared" si="49"/>
        <v>2659.3172621781609</v>
      </c>
      <c r="EU68" s="11">
        <f t="shared" si="50"/>
        <v>2487.4087605379214</v>
      </c>
      <c r="EV68" s="11">
        <f t="shared" si="51"/>
        <v>1884.4707877475885</v>
      </c>
      <c r="EW68" s="11">
        <f t="shared" si="52"/>
        <v>2174.4401635892323</v>
      </c>
      <c r="EX68" s="11">
        <f t="shared" si="53"/>
        <v>2004.967776784086</v>
      </c>
      <c r="EY68" s="11">
        <f t="shared" si="54"/>
        <v>1939.7524542110677</v>
      </c>
      <c r="EZ68" s="11">
        <f t="shared" si="55"/>
        <v>1901.680755044687</v>
      </c>
      <c r="FA68" s="11">
        <f t="shared" si="56"/>
        <v>1869.260800447287</v>
      </c>
      <c r="FB68" s="11">
        <f t="shared" si="57"/>
        <v>1854.677968458124</v>
      </c>
      <c r="FC68" s="11">
        <f t="shared" si="58"/>
        <v>24576482.182868369</v>
      </c>
      <c r="FD68" s="11">
        <v>118065500</v>
      </c>
      <c r="FE68" s="11">
        <f t="shared" si="59"/>
        <v>142641982.18286836</v>
      </c>
    </row>
    <row r="69" spans="1:161" x14ac:dyDescent="0.3">
      <c r="A69" s="15">
        <v>2025</v>
      </c>
      <c r="B69" s="16">
        <f>MAX(IF($P9=1,B19,IF($P9=0,$B$18*(1+$F$5)-($B$18*$F$5)*$V9,B19-($B$3-1)*($B$18-B19)+($B$18*(1+$F$5)-(B19-($B$3-1)*($B$18-B19)))*(1-$P9))),0)</f>
        <v>479.40725000000003</v>
      </c>
      <c r="C69" s="16">
        <f t="shared" si="90"/>
        <v>374.61136284745885</v>
      </c>
      <c r="D69" s="16">
        <f t="shared" si="91"/>
        <v>315.43020953806763</v>
      </c>
      <c r="E69" s="16">
        <f t="shared" si="92"/>
        <v>273.21100538787931</v>
      </c>
      <c r="F69" s="16">
        <f t="shared" si="93"/>
        <v>241.42271943959884</v>
      </c>
      <c r="G69" s="16">
        <f t="shared" si="94"/>
        <v>172.96297542611194</v>
      </c>
      <c r="H69" s="59">
        <f t="shared" si="95"/>
        <v>189.55306756159473</v>
      </c>
      <c r="I69" s="59">
        <f t="shared" si="96"/>
        <v>169.8478270709025</v>
      </c>
      <c r="J69" s="59">
        <f t="shared" si="97"/>
        <v>158.30747274420767</v>
      </c>
      <c r="K69" s="59">
        <f t="shared" si="98"/>
        <v>148.59793122691264</v>
      </c>
      <c r="L69" s="59">
        <f t="shared" si="99"/>
        <v>140.02255661787012</v>
      </c>
      <c r="M69" s="18">
        <f t="shared" si="100"/>
        <v>404.47500000000002</v>
      </c>
      <c r="N69" s="18">
        <f t="shared" si="101"/>
        <v>479.40725000000003</v>
      </c>
      <c r="O69" s="18">
        <f t="shared" si="102"/>
        <v>479.40725000000003</v>
      </c>
      <c r="P69" s="56"/>
      <c r="R69" s="24">
        <v>2025</v>
      </c>
      <c r="S69" s="23">
        <f t="shared" ref="S69:AB69" si="149">MIN(IF($R9=1,S$19,IF($R9=0,S$18*(1+$H$5)-(S$18*$H$5)*$X9,S$19-($D$3-1)*(S$18-S$19)+(S$18*(1+$H$5)-(S$19-($D$3-1)*(S$18-S$19)))*(1-$R9))),1)</f>
        <v>0.78140529340651155</v>
      </c>
      <c r="T69" s="23">
        <f t="shared" si="149"/>
        <v>0.84201986597643674</v>
      </c>
      <c r="U69" s="23">
        <f t="shared" si="149"/>
        <v>0.86615358049561486</v>
      </c>
      <c r="V69" s="23">
        <f t="shared" si="149"/>
        <v>0.88364932114227812</v>
      </c>
      <c r="W69" s="23">
        <f t="shared" si="149"/>
        <v>0.89554007089515686</v>
      </c>
      <c r="X69" s="60">
        <f t="shared" si="149"/>
        <v>0.90384908371160144</v>
      </c>
      <c r="Y69" s="60">
        <f t="shared" si="149"/>
        <v>0.91214938010898494</v>
      </c>
      <c r="Z69" s="60">
        <f t="shared" si="149"/>
        <v>0.91921334653621301</v>
      </c>
      <c r="AA69" s="60">
        <f t="shared" si="149"/>
        <v>0.92537334076076772</v>
      </c>
      <c r="AB69" s="60">
        <f t="shared" si="149"/>
        <v>0.93107134918860956</v>
      </c>
      <c r="AC69" s="60">
        <f t="shared" si="115"/>
        <v>0.8738298206816032</v>
      </c>
      <c r="AD69" s="23">
        <f t="shared" si="116"/>
        <v>88.796224948118805</v>
      </c>
      <c r="AE69" s="22">
        <f t="shared" si="117"/>
        <v>87.382982068160317</v>
      </c>
      <c r="AF69" s="22">
        <f t="shared" si="104"/>
        <v>87.382982068160317</v>
      </c>
      <c r="AH69" s="11">
        <v>2025</v>
      </c>
      <c r="AI69" s="13">
        <f t="shared" si="118"/>
        <v>6.0464960686692457</v>
      </c>
      <c r="AJ69" s="13">
        <f t="shared" si="144"/>
        <v>7.7460848474990849</v>
      </c>
      <c r="AK69" s="13">
        <f t="shared" si="146"/>
        <v>8.4307627543747419</v>
      </c>
      <c r="AL69" s="13">
        <f t="shared" si="148"/>
        <v>9.1043505257283908</v>
      </c>
      <c r="AM69" s="13">
        <f t="shared" ref="AM69:AM74" si="150">IF($Q5=1,AM$19,IF($Q5=0,AM$18*(1+$G$5)-(AM$18*$G$5)*$W5,AM$19-($C$3-1)*(AM$18-AM$19)+(AM$18*(1+$G$5)-(AM$19-($C$3-1)*(AM$18-AM$19)))*$Q5))</f>
        <v>9.757111883058819</v>
      </c>
      <c r="AN69" s="13">
        <f>IF($Q4=1,AN$19,IF($Q4=0,AN$18*(1+$G$5)-(AN$18*$G$5)*$W4,AN$19-($C$3-1)*(AN$18-AN$19)+(AN$18*(1+$G$5)-(AN$19-($C$3-1)*(AN$18-AN$19)))*$Q4))</f>
        <v>9.3315776803584196</v>
      </c>
      <c r="AO69" s="66">
        <f t="shared" si="86"/>
        <v>10.767462535559279</v>
      </c>
      <c r="AP69" s="66">
        <f t="shared" si="86"/>
        <v>11.263184952539948</v>
      </c>
      <c r="AQ69" s="66">
        <f t="shared" si="86"/>
        <v>11.842457420682109</v>
      </c>
      <c r="AR69" s="66">
        <f t="shared" si="86"/>
        <v>12.429534337153493</v>
      </c>
      <c r="AS69" s="66">
        <f t="shared" si="86"/>
        <v>13.089331639734455</v>
      </c>
      <c r="AT69" s="66">
        <f t="shared" si="65"/>
        <v>7.3620801313327444</v>
      </c>
      <c r="AU69" s="13">
        <f t="shared" si="119"/>
        <v>5.5535002163298106</v>
      </c>
      <c r="AV69" s="13">
        <f t="shared" si="120"/>
        <v>6.0464960686692457</v>
      </c>
      <c r="AW69" s="13">
        <f t="shared" si="121"/>
        <v>6.0464960686692457</v>
      </c>
      <c r="AY69" s="36">
        <v>2025</v>
      </c>
      <c r="AZ69" s="37">
        <f t="shared" si="14"/>
        <v>2898.7340524165343</v>
      </c>
      <c r="BA69" s="37">
        <f t="shared" si="15"/>
        <v>2901.7714014536828</v>
      </c>
      <c r="BB69" s="37">
        <f t="shared" si="60"/>
        <v>2659.3172621781609</v>
      </c>
      <c r="BC69" s="37">
        <f t="shared" si="61"/>
        <v>2487.4087605379214</v>
      </c>
      <c r="BD69" s="37">
        <f t="shared" si="62"/>
        <v>2355.5884846844851</v>
      </c>
      <c r="BE69" s="37">
        <f t="shared" si="63"/>
        <v>1614.0174410146881</v>
      </c>
      <c r="BF69" s="37">
        <f t="shared" si="66"/>
        <v>2041.0055534698081</v>
      </c>
      <c r="BG69" s="37">
        <f t="shared" si="67"/>
        <v>1913.0274900865963</v>
      </c>
      <c r="BH69" s="37">
        <f t="shared" si="68"/>
        <v>1874.7495053490729</v>
      </c>
      <c r="BI69" s="37">
        <f t="shared" si="69"/>
        <v>1847.0030886148838</v>
      </c>
      <c r="BJ69" s="37">
        <f t="shared" si="70"/>
        <v>1832.8016806147966</v>
      </c>
      <c r="BK69" s="36">
        <f t="shared" si="16"/>
        <v>24425424.720420633</v>
      </c>
      <c r="BL69" s="40">
        <f t="shared" si="74"/>
        <v>120220800</v>
      </c>
      <c r="BM69" s="38">
        <f t="shared" si="17"/>
        <v>144646224.72042063</v>
      </c>
      <c r="BN69" s="38">
        <v>145567978.18985263</v>
      </c>
      <c r="BO69" s="39">
        <f t="shared" si="18"/>
        <v>145049729.08067429</v>
      </c>
      <c r="BP69" s="39">
        <f t="shared" si="19"/>
        <v>144825559.9916445</v>
      </c>
      <c r="BQ69" s="39">
        <f t="shared" si="20"/>
        <v>144940304.74056914</v>
      </c>
      <c r="BR69" s="39">
        <f t="shared" si="105"/>
        <v>-0.51824910917833444</v>
      </c>
      <c r="BS69" s="68">
        <f t="shared" si="106"/>
        <v>-0.92175346943199632</v>
      </c>
      <c r="BT69" s="68">
        <f t="shared" si="107"/>
        <v>-0.51824910917833444</v>
      </c>
      <c r="BU69" s="68">
        <f t="shared" si="108"/>
        <v>-0.74241819820812349</v>
      </c>
      <c r="BV69" s="68">
        <f t="shared" si="109"/>
        <v>-0.62767344928348068</v>
      </c>
      <c r="BW69" s="44"/>
      <c r="BX69" s="15">
        <v>2025</v>
      </c>
      <c r="BY69" s="16">
        <f t="shared" si="110"/>
        <v>479.40725000000003</v>
      </c>
      <c r="BZ69" s="16">
        <f t="shared" si="122"/>
        <v>374.61136284745885</v>
      </c>
      <c r="CA69" s="16">
        <f t="shared" si="123"/>
        <v>315.43020953806763</v>
      </c>
      <c r="CB69" s="16">
        <f t="shared" si="124"/>
        <v>273.21100538787931</v>
      </c>
      <c r="CC69" s="16">
        <f t="shared" si="125"/>
        <v>241.42271943959884</v>
      </c>
      <c r="CD69" s="16">
        <f t="shared" si="126"/>
        <v>216.2037192826399</v>
      </c>
      <c r="CE69" s="59">
        <f t="shared" si="127"/>
        <v>189.55306756159473</v>
      </c>
      <c r="CF69" s="59">
        <f t="shared" si="128"/>
        <v>169.8478270709025</v>
      </c>
      <c r="CG69" s="59">
        <f t="shared" si="129"/>
        <v>158.30747274420767</v>
      </c>
      <c r="CH69" s="59">
        <f t="shared" si="130"/>
        <v>148.59793122691264</v>
      </c>
      <c r="CI69" s="59">
        <f t="shared" si="131"/>
        <v>140.02255661787012</v>
      </c>
      <c r="CK69" s="21">
        <v>2025</v>
      </c>
      <c r="CL69" s="24">
        <f t="shared" si="132"/>
        <v>479.40725000000003</v>
      </c>
      <c r="CM69" s="24">
        <f t="shared" si="133"/>
        <v>374.61136284745885</v>
      </c>
      <c r="CN69" s="24">
        <f t="shared" si="134"/>
        <v>315.43020953806763</v>
      </c>
      <c r="CO69" s="24">
        <f t="shared" si="135"/>
        <v>273.21100538787931</v>
      </c>
      <c r="CP69" s="24">
        <f t="shared" si="136"/>
        <v>241.42271943959884</v>
      </c>
      <c r="CQ69" s="24">
        <f t="shared" si="137"/>
        <v>172.96297542611194</v>
      </c>
      <c r="CR69" s="5">
        <f t="shared" si="138"/>
        <v>195.41553356865435</v>
      </c>
      <c r="CS69" s="5">
        <f t="shared" si="139"/>
        <v>175.10085265041496</v>
      </c>
      <c r="CT69" s="5">
        <f t="shared" si="140"/>
        <v>163.2035801486677</v>
      </c>
      <c r="CU69" s="5">
        <f t="shared" si="141"/>
        <v>153.19374353289965</v>
      </c>
      <c r="CV69" s="5">
        <f t="shared" si="142"/>
        <v>144.35315115244344</v>
      </c>
      <c r="CX69" s="11">
        <v>2025</v>
      </c>
      <c r="CY69" s="13">
        <f t="shared" si="113"/>
        <v>6.0464960686692457</v>
      </c>
      <c r="CZ69" s="13">
        <f t="shared" si="89"/>
        <v>7.7460848474990849</v>
      </c>
      <c r="DA69" s="13">
        <f t="shared" si="89"/>
        <v>8.4307627543747419</v>
      </c>
      <c r="DB69" s="13">
        <f t="shared" si="89"/>
        <v>9.1043505257283908</v>
      </c>
      <c r="DC69" s="13">
        <f t="shared" si="89"/>
        <v>9.757111883058819</v>
      </c>
      <c r="DD69" s="13">
        <f t="shared" si="89"/>
        <v>10.368419644842689</v>
      </c>
      <c r="DE69" s="66">
        <f t="shared" si="89"/>
        <v>10.767462535559279</v>
      </c>
      <c r="DF69" s="66">
        <f t="shared" si="89"/>
        <v>11.263184952539948</v>
      </c>
      <c r="DG69" s="66">
        <f t="shared" si="89"/>
        <v>11.842457420682109</v>
      </c>
      <c r="DH69" s="66">
        <f t="shared" si="89"/>
        <v>12.429534337153493</v>
      </c>
      <c r="DI69" s="66">
        <f t="shared" si="89"/>
        <v>13.089331639734455</v>
      </c>
      <c r="DK69" s="15">
        <v>2025</v>
      </c>
      <c r="DL69" s="16">
        <f t="shared" si="21"/>
        <v>2898.7340524165343</v>
      </c>
      <c r="DM69" s="16">
        <f t="shared" si="22"/>
        <v>2901.7714014536828</v>
      </c>
      <c r="DN69" s="16">
        <f t="shared" si="23"/>
        <v>2659.3172621781609</v>
      </c>
      <c r="DO69" s="16">
        <f t="shared" si="24"/>
        <v>2487.4087605379214</v>
      </c>
      <c r="DP69" s="16">
        <f t="shared" si="25"/>
        <v>2355.5884846844851</v>
      </c>
      <c r="DQ69" s="16">
        <f t="shared" si="26"/>
        <v>2017.5218012683597</v>
      </c>
      <c r="DR69" s="16">
        <f t="shared" si="27"/>
        <v>2041.0055534698081</v>
      </c>
      <c r="DS69" s="16">
        <f t="shared" si="28"/>
        <v>1913.0274900865963</v>
      </c>
      <c r="DT69" s="16">
        <f t="shared" si="29"/>
        <v>1874.7495053490729</v>
      </c>
      <c r="DU69" s="16">
        <f t="shared" si="30"/>
        <v>1847.0030886148838</v>
      </c>
      <c r="DV69" s="16">
        <f t="shared" si="31"/>
        <v>1832.8016806147966</v>
      </c>
      <c r="DW69" s="15">
        <f t="shared" si="32"/>
        <v>24828929.080674302</v>
      </c>
      <c r="DX69" s="15">
        <v>120220800</v>
      </c>
      <c r="DY69" s="15">
        <f t="shared" si="33"/>
        <v>145049729.08067429</v>
      </c>
      <c r="EA69" s="21">
        <v>2025</v>
      </c>
      <c r="EB69" s="24">
        <f t="shared" si="34"/>
        <v>2898.7340524165343</v>
      </c>
      <c r="EC69" s="24">
        <f t="shared" si="35"/>
        <v>2901.7714014536828</v>
      </c>
      <c r="ED69" s="24">
        <f t="shared" si="36"/>
        <v>2659.3172621781609</v>
      </c>
      <c r="EE69" s="24">
        <f t="shared" si="37"/>
        <v>2487.4087605379214</v>
      </c>
      <c r="EF69" s="24">
        <f t="shared" si="38"/>
        <v>2355.5884846844851</v>
      </c>
      <c r="EG69" s="24">
        <f t="shared" si="39"/>
        <v>1614.0174410146881</v>
      </c>
      <c r="EH69" s="24">
        <f t="shared" si="40"/>
        <v>2104.1294365668123</v>
      </c>
      <c r="EI69" s="24">
        <f t="shared" si="41"/>
        <v>1972.1932887490684</v>
      </c>
      <c r="EJ69" s="24">
        <f t="shared" si="42"/>
        <v>1932.7314488134771</v>
      </c>
      <c r="EK69" s="24">
        <f t="shared" si="43"/>
        <v>1904.126895479262</v>
      </c>
      <c r="EL69" s="24">
        <f t="shared" si="44"/>
        <v>1889.4862686750482</v>
      </c>
      <c r="EM69" s="21">
        <f t="shared" si="45"/>
        <v>24719504.740569141</v>
      </c>
      <c r="EN69" s="21">
        <v>120220800</v>
      </c>
      <c r="EO69" s="21">
        <f t="shared" si="46"/>
        <v>144940304.74056914</v>
      </c>
      <c r="EQ69" s="11">
        <v>2025</v>
      </c>
      <c r="ER69" s="11">
        <f t="shared" si="47"/>
        <v>2898.7340524165343</v>
      </c>
      <c r="ES69" s="11">
        <f t="shared" si="48"/>
        <v>2901.7714014536828</v>
      </c>
      <c r="ET69" s="11">
        <f t="shared" si="49"/>
        <v>2659.3172621781609</v>
      </c>
      <c r="EU69" s="11">
        <f t="shared" si="50"/>
        <v>2487.4087605379214</v>
      </c>
      <c r="EV69" s="11">
        <f t="shared" si="51"/>
        <v>2355.5884846844851</v>
      </c>
      <c r="EW69" s="11">
        <f t="shared" si="52"/>
        <v>1793.3527122385424</v>
      </c>
      <c r="EX69" s="11">
        <f t="shared" si="53"/>
        <v>2041.0055534698081</v>
      </c>
      <c r="EY69" s="11">
        <f t="shared" si="54"/>
        <v>1913.0274900865963</v>
      </c>
      <c r="EZ69" s="11">
        <f t="shared" si="55"/>
        <v>1874.7495053490729</v>
      </c>
      <c r="FA69" s="11">
        <f t="shared" si="56"/>
        <v>1847.0030886148838</v>
      </c>
      <c r="FB69" s="11">
        <f t="shared" si="57"/>
        <v>1832.8016806147966</v>
      </c>
      <c r="FC69" s="11">
        <f t="shared" si="58"/>
        <v>24604759.991644491</v>
      </c>
      <c r="FD69" s="11">
        <v>120220800</v>
      </c>
      <c r="FE69" s="11">
        <f t="shared" si="59"/>
        <v>144825559.9916445</v>
      </c>
    </row>
    <row r="70" spans="1:161" x14ac:dyDescent="0.3">
      <c r="A70" s="15">
        <v>2026</v>
      </c>
      <c r="B70" s="16">
        <f>MAX(IF($P10=1,B19,IF($P10=0,$B$18*(1+$F$5)-($B$18*$F$5)*$V10,B19-($B$3-1)*($B$18-B19)+($B$18*(1+$F$5)-(B19-($B$3-1)*($B$18-B19)))*(1-$P10))),0)</f>
        <v>479.40725000000003</v>
      </c>
      <c r="C70" s="16">
        <f t="shared" si="90"/>
        <v>374.61136284745885</v>
      </c>
      <c r="D70" s="16">
        <f t="shared" si="91"/>
        <v>315.43020953806763</v>
      </c>
      <c r="E70" s="16">
        <f t="shared" si="92"/>
        <v>273.21100538787931</v>
      </c>
      <c r="F70" s="16">
        <f t="shared" si="93"/>
        <v>241.42271943959884</v>
      </c>
      <c r="G70" s="16">
        <f t="shared" si="94"/>
        <v>216.2037192826399</v>
      </c>
      <c r="H70" s="59">
        <f t="shared" si="95"/>
        <v>156.33242685492351</v>
      </c>
      <c r="I70" s="59">
        <f t="shared" si="96"/>
        <v>172.90071307406518</v>
      </c>
      <c r="J70" s="59">
        <f t="shared" si="97"/>
        <v>156.12638952374829</v>
      </c>
      <c r="K70" s="59">
        <f t="shared" si="98"/>
        <v>146.49351492070164</v>
      </c>
      <c r="L70" s="59">
        <f t="shared" si="99"/>
        <v>138.35527631407777</v>
      </c>
      <c r="M70" s="15"/>
      <c r="N70" s="15"/>
      <c r="O70" s="15"/>
      <c r="P70" s="56"/>
      <c r="R70" s="24">
        <v>2026</v>
      </c>
      <c r="S70" s="23">
        <f t="shared" ref="S70:AB70" si="151">MIN(IF($R10=1,S$19,IF($R10=0,S$18*(1+$H$5)-(S$18*$H$5)*$X10,S$19-($D$3-1)*(S$18-S$19)+(S$18*(1+$H$5)-(S$19-($D$3-1)*(S$18-S$19)))*(1-$R10))),1)</f>
        <v>0.78140529340651155</v>
      </c>
      <c r="T70" s="23">
        <f t="shared" si="151"/>
        <v>0.84201986597643674</v>
      </c>
      <c r="U70" s="23">
        <f t="shared" si="151"/>
        <v>0.86615358049561486</v>
      </c>
      <c r="V70" s="23">
        <f t="shared" si="151"/>
        <v>0.88364932114227812</v>
      </c>
      <c r="W70" s="23">
        <f t="shared" si="151"/>
        <v>0.89554007089515686</v>
      </c>
      <c r="X70" s="60">
        <f t="shared" si="151"/>
        <v>0.90384908371160144</v>
      </c>
      <c r="Y70" s="60">
        <f t="shared" si="151"/>
        <v>0.91214938010898494</v>
      </c>
      <c r="Z70" s="60">
        <f t="shared" si="151"/>
        <v>0.91921334653621301</v>
      </c>
      <c r="AA70" s="60">
        <f t="shared" si="151"/>
        <v>0.92537334076076772</v>
      </c>
      <c r="AB70" s="60">
        <f t="shared" si="151"/>
        <v>0.93107134918860956</v>
      </c>
      <c r="AC70" s="60">
        <f t="shared" si="115"/>
        <v>0.8738298206816032</v>
      </c>
      <c r="AD70" s="21"/>
      <c r="AE70" s="21"/>
      <c r="AF70" s="21"/>
      <c r="AH70" s="11">
        <v>2026</v>
      </c>
      <c r="AI70" s="13">
        <f t="shared" si="118"/>
        <v>6.0464960686692457</v>
      </c>
      <c r="AJ70" s="13">
        <f t="shared" si="144"/>
        <v>7.7460848474990849</v>
      </c>
      <c r="AK70" s="13">
        <f t="shared" si="146"/>
        <v>8.4307627543747419</v>
      </c>
      <c r="AL70" s="13">
        <f t="shared" si="148"/>
        <v>9.1043505257283908</v>
      </c>
      <c r="AM70" s="13">
        <f t="shared" si="150"/>
        <v>9.757111883058819</v>
      </c>
      <c r="AN70" s="13">
        <f t="shared" ref="AN70:AN74" si="152">IF($Q5=1,AN$19,IF($Q5=0,AN$18*(1+$G$5)-(AN$18*$G$5)*$W5,AN$19-($C$3-1)*(AN$18-AN$19)+(AN$18*(1+$G$5)-(AN$19-($C$3-1)*(AN$18-AN$19)))*$Q5))</f>
        <v>10.368419644842689</v>
      </c>
      <c r="AO70" s="66">
        <f>IF($Q4=1,AO$19,IF($Q4=0,AO$18*(1+$G$5)-(AO$18*$G$5)*$W4,AO$19-($C$3-1)*(AO$18-AO$19)+(AO$18*(1+$G$5)-(AO$19-($C$3-1)*(AO$18-AO$19)))*$Q4))</f>
        <v>9.6907162820033506</v>
      </c>
      <c r="AP70" s="66">
        <f t="shared" si="86"/>
        <v>11.263184952539948</v>
      </c>
      <c r="AQ70" s="66">
        <f t="shared" si="86"/>
        <v>11.842457420682109</v>
      </c>
      <c r="AR70" s="66">
        <f t="shared" si="86"/>
        <v>12.429534337153493</v>
      </c>
      <c r="AS70" s="66">
        <f t="shared" si="86"/>
        <v>13.089331639734455</v>
      </c>
      <c r="AT70" s="66">
        <f t="shared" si="65"/>
        <v>8.1800890348141611</v>
      </c>
      <c r="AU70" s="11"/>
      <c r="AV70" s="11"/>
      <c r="AW70" s="11"/>
      <c r="AY70" s="36">
        <v>2026</v>
      </c>
      <c r="AZ70" s="37">
        <f t="shared" si="14"/>
        <v>2898.7340524165343</v>
      </c>
      <c r="BA70" s="37">
        <f t="shared" si="15"/>
        <v>2901.7714014536828</v>
      </c>
      <c r="BB70" s="37">
        <f t="shared" si="60"/>
        <v>2659.3172621781609</v>
      </c>
      <c r="BC70" s="37">
        <f t="shared" si="61"/>
        <v>2487.4087605379214</v>
      </c>
      <c r="BD70" s="37">
        <f t="shared" si="62"/>
        <v>2355.5884846844851</v>
      </c>
      <c r="BE70" s="37">
        <f t="shared" si="63"/>
        <v>2241.6908902981777</v>
      </c>
      <c r="BF70" s="37">
        <f t="shared" si="66"/>
        <v>1514.9731943281051</v>
      </c>
      <c r="BG70" s="37">
        <f t="shared" si="67"/>
        <v>1947.412709779238</v>
      </c>
      <c r="BH70" s="37">
        <f t="shared" si="68"/>
        <v>1848.9201201798185</v>
      </c>
      <c r="BI70" s="37">
        <f t="shared" si="69"/>
        <v>1820.8461738771687</v>
      </c>
      <c r="BJ70" s="37">
        <f t="shared" si="70"/>
        <v>1810.9780957820612</v>
      </c>
      <c r="BK70" s="36">
        <f t="shared" si="16"/>
        <v>24487641.145515352</v>
      </c>
      <c r="BL70" s="40">
        <f t="shared" si="74"/>
        <v>122376100</v>
      </c>
      <c r="BM70" s="38">
        <f t="shared" si="17"/>
        <v>146863741.14551535</v>
      </c>
      <c r="BN70" s="38">
        <v>147682634.20526803</v>
      </c>
      <c r="BO70" s="39">
        <f t="shared" si="18"/>
        <v>147242484.44409737</v>
      </c>
      <c r="BP70" s="39">
        <f t="shared" si="19"/>
        <v>147032071.50044069</v>
      </c>
      <c r="BQ70" s="39">
        <f t="shared" si="20"/>
        <v>147093477.96302933</v>
      </c>
      <c r="BR70" s="39">
        <f t="shared" si="105"/>
        <v>-0.44014976117065546</v>
      </c>
      <c r="BS70" s="68">
        <f t="shared" si="106"/>
        <v>-0.8188930597526729</v>
      </c>
      <c r="BT70" s="68">
        <f t="shared" si="107"/>
        <v>-0.44014976117065546</v>
      </c>
      <c r="BU70" s="68">
        <f t="shared" si="108"/>
        <v>-0.65056270482733847</v>
      </c>
      <c r="BV70" s="68">
        <f t="shared" si="109"/>
        <v>-0.58915624223870044</v>
      </c>
      <c r="BW70" s="44"/>
      <c r="BX70" s="15">
        <v>2026</v>
      </c>
      <c r="BY70" s="16">
        <f t="shared" si="110"/>
        <v>479.40725000000003</v>
      </c>
      <c r="BZ70" s="16">
        <f t="shared" si="122"/>
        <v>374.61136284745885</v>
      </c>
      <c r="CA70" s="16">
        <f t="shared" si="123"/>
        <v>315.43020953806763</v>
      </c>
      <c r="CB70" s="16">
        <f t="shared" si="124"/>
        <v>273.21100538787931</v>
      </c>
      <c r="CC70" s="16">
        <f t="shared" si="125"/>
        <v>241.42271943959884</v>
      </c>
      <c r="CD70" s="16">
        <f t="shared" si="126"/>
        <v>216.2037192826399</v>
      </c>
      <c r="CE70" s="59">
        <f t="shared" si="127"/>
        <v>195.41553356865435</v>
      </c>
      <c r="CF70" s="59">
        <f t="shared" si="128"/>
        <v>172.90071307406518</v>
      </c>
      <c r="CG70" s="59">
        <f t="shared" si="129"/>
        <v>156.12638952374829</v>
      </c>
      <c r="CH70" s="59">
        <f t="shared" si="130"/>
        <v>146.49351492070164</v>
      </c>
      <c r="CI70" s="59">
        <f t="shared" si="131"/>
        <v>138.35527631407777</v>
      </c>
      <c r="CK70" s="21">
        <v>2026</v>
      </c>
      <c r="CL70" s="24">
        <f t="shared" si="132"/>
        <v>479.40725000000003</v>
      </c>
      <c r="CM70" s="24">
        <f t="shared" si="133"/>
        <v>374.61136284745885</v>
      </c>
      <c r="CN70" s="24">
        <f t="shared" si="134"/>
        <v>315.43020953806763</v>
      </c>
      <c r="CO70" s="24">
        <f t="shared" si="135"/>
        <v>273.21100538787931</v>
      </c>
      <c r="CP70" s="24">
        <f t="shared" si="136"/>
        <v>241.42271943959884</v>
      </c>
      <c r="CQ70" s="24">
        <f t="shared" si="137"/>
        <v>216.2037192826399</v>
      </c>
      <c r="CR70" s="5">
        <f t="shared" si="138"/>
        <v>156.33242685492351</v>
      </c>
      <c r="CS70" s="5">
        <f t="shared" si="139"/>
        <v>178.2481578083146</v>
      </c>
      <c r="CT70" s="5">
        <f t="shared" si="140"/>
        <v>160.95504074613225</v>
      </c>
      <c r="CU70" s="5">
        <f t="shared" si="141"/>
        <v>151.02424218629034</v>
      </c>
      <c r="CV70" s="5">
        <f t="shared" si="142"/>
        <v>142.63430547843072</v>
      </c>
      <c r="CX70" s="11">
        <v>2026</v>
      </c>
      <c r="CY70" s="13">
        <f t="shared" si="113"/>
        <v>6.0464960686692457</v>
      </c>
      <c r="CZ70" s="13">
        <f t="shared" si="89"/>
        <v>7.7460848474990849</v>
      </c>
      <c r="DA70" s="13">
        <f t="shared" si="89"/>
        <v>8.4307627543747419</v>
      </c>
      <c r="DB70" s="13">
        <f t="shared" si="89"/>
        <v>9.1043505257283908</v>
      </c>
      <c r="DC70" s="13">
        <f t="shared" si="89"/>
        <v>9.757111883058819</v>
      </c>
      <c r="DD70" s="13">
        <f t="shared" si="89"/>
        <v>10.368419644842689</v>
      </c>
      <c r="DE70" s="66">
        <f t="shared" si="89"/>
        <v>10.767462535559279</v>
      </c>
      <c r="DF70" s="66">
        <f t="shared" si="89"/>
        <v>11.263184952539948</v>
      </c>
      <c r="DG70" s="66">
        <f t="shared" si="89"/>
        <v>11.842457420682109</v>
      </c>
      <c r="DH70" s="66">
        <f t="shared" si="89"/>
        <v>12.429534337153493</v>
      </c>
      <c r="DI70" s="66">
        <f t="shared" si="89"/>
        <v>13.089331639734455</v>
      </c>
      <c r="DK70" s="15">
        <v>2026</v>
      </c>
      <c r="DL70" s="16">
        <f t="shared" si="21"/>
        <v>2898.7340524165343</v>
      </c>
      <c r="DM70" s="16">
        <f t="shared" si="22"/>
        <v>2901.7714014536828</v>
      </c>
      <c r="DN70" s="16">
        <f t="shared" si="23"/>
        <v>2659.3172621781609</v>
      </c>
      <c r="DO70" s="16">
        <f t="shared" si="24"/>
        <v>2487.4087605379214</v>
      </c>
      <c r="DP70" s="16">
        <f t="shared" si="25"/>
        <v>2355.5884846844851</v>
      </c>
      <c r="DQ70" s="16">
        <f t="shared" si="26"/>
        <v>2241.6908902981777</v>
      </c>
      <c r="DR70" s="16">
        <f t="shared" si="27"/>
        <v>1893.7164929101311</v>
      </c>
      <c r="DS70" s="16">
        <f t="shared" si="28"/>
        <v>1947.412709779238</v>
      </c>
      <c r="DT70" s="16">
        <f t="shared" si="29"/>
        <v>1848.9201201798185</v>
      </c>
      <c r="DU70" s="16">
        <f t="shared" si="30"/>
        <v>1820.8461738771687</v>
      </c>
      <c r="DV70" s="16">
        <f t="shared" si="31"/>
        <v>1810.9780957820612</v>
      </c>
      <c r="DW70" s="15">
        <f t="shared" si="32"/>
        <v>24866384.444097381</v>
      </c>
      <c r="DX70" s="15">
        <v>122376100</v>
      </c>
      <c r="DY70" s="15">
        <f t="shared" si="33"/>
        <v>147242484.44409737</v>
      </c>
      <c r="EA70" s="21">
        <v>2026</v>
      </c>
      <c r="EB70" s="24">
        <f t="shared" si="34"/>
        <v>2898.7340524165343</v>
      </c>
      <c r="EC70" s="24">
        <f t="shared" si="35"/>
        <v>2901.7714014536828</v>
      </c>
      <c r="ED70" s="24">
        <f t="shared" si="36"/>
        <v>2659.3172621781609</v>
      </c>
      <c r="EE70" s="24">
        <f t="shared" si="37"/>
        <v>2487.4087605379214</v>
      </c>
      <c r="EF70" s="24">
        <f t="shared" si="38"/>
        <v>2355.5884846844851</v>
      </c>
      <c r="EG70" s="24">
        <f t="shared" si="39"/>
        <v>2241.6908902981777</v>
      </c>
      <c r="EH70" s="24">
        <f t="shared" si="40"/>
        <v>1514.9731943281051</v>
      </c>
      <c r="EI70" s="24">
        <f t="shared" si="41"/>
        <v>2007.6419688445751</v>
      </c>
      <c r="EJ70" s="24">
        <f t="shared" si="42"/>
        <v>1906.1032166802252</v>
      </c>
      <c r="EK70" s="24">
        <f t="shared" si="43"/>
        <v>1877.1610039970808</v>
      </c>
      <c r="EL70" s="24">
        <f t="shared" si="44"/>
        <v>1866.9877276103728</v>
      </c>
      <c r="EM70" s="21">
        <f t="shared" si="45"/>
        <v>24717377.963029321</v>
      </c>
      <c r="EN70" s="21">
        <v>122376100</v>
      </c>
      <c r="EO70" s="21">
        <f t="shared" si="46"/>
        <v>147093477.96302933</v>
      </c>
      <c r="EQ70" s="11">
        <v>2026</v>
      </c>
      <c r="ER70" s="11">
        <f t="shared" si="47"/>
        <v>2898.7340524165343</v>
      </c>
      <c r="ES70" s="11">
        <f t="shared" si="48"/>
        <v>2901.7714014536828</v>
      </c>
      <c r="ET70" s="11">
        <f t="shared" si="49"/>
        <v>2659.3172621781609</v>
      </c>
      <c r="EU70" s="11">
        <f t="shared" si="50"/>
        <v>2487.4087605379214</v>
      </c>
      <c r="EV70" s="11">
        <f t="shared" si="51"/>
        <v>2355.5884846844851</v>
      </c>
      <c r="EW70" s="11">
        <f t="shared" si="52"/>
        <v>2241.6908902981777</v>
      </c>
      <c r="EX70" s="11">
        <f t="shared" si="53"/>
        <v>1683.3035492534502</v>
      </c>
      <c r="EY70" s="11">
        <f t="shared" si="54"/>
        <v>1947.412709779238</v>
      </c>
      <c r="EZ70" s="11">
        <f t="shared" si="55"/>
        <v>1848.9201201798185</v>
      </c>
      <c r="FA70" s="11">
        <f t="shared" si="56"/>
        <v>1820.8461738771687</v>
      </c>
      <c r="FB70" s="11">
        <f t="shared" si="57"/>
        <v>1810.9780957820612</v>
      </c>
      <c r="FC70" s="11">
        <f t="shared" si="58"/>
        <v>24655971.500440698</v>
      </c>
      <c r="FD70" s="11">
        <v>122376100</v>
      </c>
      <c r="FE70" s="11">
        <f t="shared" si="59"/>
        <v>147032071.50044069</v>
      </c>
    </row>
    <row r="71" spans="1:161" x14ac:dyDescent="0.3">
      <c r="A71" s="15">
        <v>2027</v>
      </c>
      <c r="B71" s="16">
        <f>MAX(IF($P11=1,B19,IF($P11=0,$B$18*(1+$F$5)-($B$18*$F$5)*$V11,B19-($B$3-1)*($B$18-B19)+($B$18*(1+$F$5)-(B19-($B$3-1)*($B$18-B19)))*(1-$P11))),0)</f>
        <v>479.40725000000003</v>
      </c>
      <c r="C71" s="16">
        <f t="shared" si="90"/>
        <v>374.61136284745885</v>
      </c>
      <c r="D71" s="16">
        <f t="shared" si="91"/>
        <v>315.43020953806763</v>
      </c>
      <c r="E71" s="16">
        <f t="shared" si="92"/>
        <v>273.21100538787931</v>
      </c>
      <c r="F71" s="16">
        <f t="shared" si="93"/>
        <v>241.42271943959884</v>
      </c>
      <c r="G71" s="16">
        <f t="shared" si="94"/>
        <v>216.2037192826399</v>
      </c>
      <c r="H71" s="59">
        <f t="shared" si="95"/>
        <v>195.41553356865435</v>
      </c>
      <c r="I71" s="59">
        <f t="shared" si="96"/>
        <v>142.59852624665172</v>
      </c>
      <c r="J71" s="59">
        <f t="shared" si="97"/>
        <v>158.93264308330902</v>
      </c>
      <c r="K71" s="59">
        <f t="shared" si="98"/>
        <v>144.47519865450789</v>
      </c>
      <c r="L71" s="59">
        <f t="shared" si="99"/>
        <v>136.39591458459938</v>
      </c>
      <c r="M71" s="16"/>
      <c r="N71" s="19"/>
      <c r="O71" s="56"/>
      <c r="P71" s="56"/>
      <c r="R71" s="24">
        <v>2027</v>
      </c>
      <c r="S71" s="23">
        <f t="shared" ref="S71:AB71" si="153">MIN(IF($R11=1,S$19,IF($R11=0,S$18*(1+$H$5)-(S$18*$H$5)*$X11,S$19-($D$3-1)*(S$18-S$19)+(S$18*(1+$H$5)-(S$19-($D$3-1)*(S$18-S$19)))*(1-$R11))),1)</f>
        <v>0.78140529340651155</v>
      </c>
      <c r="T71" s="23">
        <f t="shared" si="153"/>
        <v>0.84201986597643674</v>
      </c>
      <c r="U71" s="23">
        <f t="shared" si="153"/>
        <v>0.86615358049561486</v>
      </c>
      <c r="V71" s="23">
        <f t="shared" si="153"/>
        <v>0.88364932114227812</v>
      </c>
      <c r="W71" s="23">
        <f t="shared" si="153"/>
        <v>0.89554007089515686</v>
      </c>
      <c r="X71" s="60">
        <f t="shared" si="153"/>
        <v>0.90384908371160144</v>
      </c>
      <c r="Y71" s="60">
        <f t="shared" si="153"/>
        <v>0.91214938010898494</v>
      </c>
      <c r="Z71" s="60">
        <f t="shared" si="153"/>
        <v>0.91921334653621301</v>
      </c>
      <c r="AA71" s="60">
        <f t="shared" si="153"/>
        <v>0.92537334076076772</v>
      </c>
      <c r="AB71" s="60">
        <f t="shared" si="153"/>
        <v>0.93107134918860956</v>
      </c>
      <c r="AC71" s="60">
        <f t="shared" si="115"/>
        <v>0.8738298206816032</v>
      </c>
      <c r="AD71" s="21"/>
      <c r="AE71" s="21"/>
      <c r="AF71" s="21"/>
      <c r="AH71" s="11">
        <v>2027</v>
      </c>
      <c r="AI71" s="13">
        <f t="shared" si="118"/>
        <v>6.0464960686692457</v>
      </c>
      <c r="AJ71" s="13">
        <f t="shared" si="144"/>
        <v>7.7460848474990849</v>
      </c>
      <c r="AK71" s="13">
        <f t="shared" si="146"/>
        <v>8.4307627543747419</v>
      </c>
      <c r="AL71" s="13">
        <f t="shared" si="148"/>
        <v>9.1043505257283908</v>
      </c>
      <c r="AM71" s="13">
        <f t="shared" si="150"/>
        <v>9.757111883058819</v>
      </c>
      <c r="AN71" s="13">
        <f t="shared" si="152"/>
        <v>10.368419644842689</v>
      </c>
      <c r="AO71" s="66">
        <f t="shared" ref="AO71:AO74" si="154">IF($Q5=1,AO$19,IF($Q5=0,AO$18*(1+$G$5)-(AO$18*$G$5)*$W5,AO$19-($C$3-1)*(AO$18-AO$19)+(AO$18*(1+$G$5)-(AO$19-($C$3-1)*(AO$18-AO$19)))*$Q5))</f>
        <v>10.767462535559279</v>
      </c>
      <c r="AP71" s="66">
        <f>IF($Q4=1,AP$19,IF($Q4=0,AP$18*(1+$G$5)-(AP$18*$G$5)*$W4,AP$19-($C$3-1)*(AP$18-AP$19)+(AP$18*(1+$G$5)-(AP$19-($C$3-1)*(AP$18-AP$19)))*$Q4))</f>
        <v>10.136866457285954</v>
      </c>
      <c r="AQ71" s="66">
        <f t="shared" si="86"/>
        <v>11.842457420682109</v>
      </c>
      <c r="AR71" s="66">
        <f t="shared" si="86"/>
        <v>12.429534337153493</v>
      </c>
      <c r="AS71" s="66">
        <f t="shared" si="86"/>
        <v>13.089331639734455</v>
      </c>
      <c r="AT71" s="66">
        <f t="shared" si="65"/>
        <v>8.1800890348141611</v>
      </c>
      <c r="AU71" s="13"/>
      <c r="AV71" s="13"/>
      <c r="AW71" s="13"/>
      <c r="AY71" s="36">
        <v>2027</v>
      </c>
      <c r="AZ71" s="37">
        <f t="shared" si="14"/>
        <v>2898.7340524165343</v>
      </c>
      <c r="BA71" s="37">
        <f t="shared" si="15"/>
        <v>2901.7714014536828</v>
      </c>
      <c r="BB71" s="37">
        <f t="shared" si="60"/>
        <v>2659.3172621781609</v>
      </c>
      <c r="BC71" s="37">
        <f t="shared" si="61"/>
        <v>2487.4087605379214</v>
      </c>
      <c r="BD71" s="37">
        <f t="shared" si="62"/>
        <v>2355.5884846844851</v>
      </c>
      <c r="BE71" s="37">
        <f t="shared" si="63"/>
        <v>2241.6908902981777</v>
      </c>
      <c r="BF71" s="37">
        <f t="shared" si="66"/>
        <v>2104.1294365668123</v>
      </c>
      <c r="BG71" s="37">
        <f t="shared" si="67"/>
        <v>1445.5022175680945</v>
      </c>
      <c r="BH71" s="37">
        <f t="shared" si="68"/>
        <v>1882.153058470554</v>
      </c>
      <c r="BI71" s="37">
        <f t="shared" si="69"/>
        <v>1795.7594425432781</v>
      </c>
      <c r="BJ71" s="37">
        <f t="shared" si="70"/>
        <v>1785.331360302715</v>
      </c>
      <c r="BK71" s="36">
        <f t="shared" si="16"/>
        <v>24557386.367020421</v>
      </c>
      <c r="BL71" s="40">
        <f t="shared" si="74"/>
        <v>124531400</v>
      </c>
      <c r="BM71" s="38">
        <f t="shared" si="17"/>
        <v>149088786.36702043</v>
      </c>
      <c r="BN71" s="38">
        <v>149819892.42328608</v>
      </c>
      <c r="BO71" s="39">
        <f t="shared" si="18"/>
        <v>149450161.92141244</v>
      </c>
      <c r="BP71" s="39">
        <f t="shared" si="19"/>
        <v>149249397.72452798</v>
      </c>
      <c r="BQ71" s="39">
        <f t="shared" si="20"/>
        <v>149257752.67200959</v>
      </c>
      <c r="BR71" s="39">
        <f t="shared" si="105"/>
        <v>-0.3697305018736422</v>
      </c>
      <c r="BS71" s="68">
        <f t="shared" si="106"/>
        <v>-0.73110605626565217</v>
      </c>
      <c r="BT71" s="68">
        <f t="shared" si="107"/>
        <v>-0.3697305018736422</v>
      </c>
      <c r="BU71" s="68">
        <f t="shared" si="108"/>
        <v>-0.57049469875809555</v>
      </c>
      <c r="BV71" s="68">
        <f t="shared" si="109"/>
        <v>-0.56213975127649307</v>
      </c>
      <c r="BW71" s="44"/>
      <c r="BX71" s="15">
        <v>2027</v>
      </c>
      <c r="BY71" s="16">
        <f t="shared" si="110"/>
        <v>479.40725000000003</v>
      </c>
      <c r="BZ71" s="16">
        <f t="shared" si="122"/>
        <v>374.61136284745885</v>
      </c>
      <c r="CA71" s="16">
        <f t="shared" si="123"/>
        <v>315.43020953806763</v>
      </c>
      <c r="CB71" s="16">
        <f t="shared" si="124"/>
        <v>273.21100538787931</v>
      </c>
      <c r="CC71" s="16">
        <f t="shared" si="125"/>
        <v>241.42271943959884</v>
      </c>
      <c r="CD71" s="16">
        <f t="shared" si="126"/>
        <v>216.2037192826399</v>
      </c>
      <c r="CE71" s="59">
        <f t="shared" si="127"/>
        <v>195.41553356865435</v>
      </c>
      <c r="CF71" s="59">
        <f t="shared" si="128"/>
        <v>178.2481578083146</v>
      </c>
      <c r="CG71" s="59">
        <f t="shared" si="129"/>
        <v>158.93264308330902</v>
      </c>
      <c r="CH71" s="59">
        <f t="shared" si="130"/>
        <v>144.47519865450789</v>
      </c>
      <c r="CI71" s="59">
        <f t="shared" si="131"/>
        <v>136.39591458459938</v>
      </c>
      <c r="CK71" s="21">
        <v>2027</v>
      </c>
      <c r="CL71" s="24">
        <f t="shared" si="132"/>
        <v>479.40725000000003</v>
      </c>
      <c r="CM71" s="24">
        <f t="shared" si="133"/>
        <v>374.61136284745885</v>
      </c>
      <c r="CN71" s="24">
        <f t="shared" si="134"/>
        <v>315.43020953806763</v>
      </c>
      <c r="CO71" s="24">
        <f t="shared" si="135"/>
        <v>273.21100538787931</v>
      </c>
      <c r="CP71" s="24">
        <f t="shared" si="136"/>
        <v>241.42271943959884</v>
      </c>
      <c r="CQ71" s="24">
        <f t="shared" si="137"/>
        <v>216.2037192826399</v>
      </c>
      <c r="CR71" s="5">
        <f t="shared" si="138"/>
        <v>195.41553356865435</v>
      </c>
      <c r="CS71" s="5">
        <f t="shared" si="139"/>
        <v>142.59852624665172</v>
      </c>
      <c r="CT71" s="5">
        <f t="shared" si="140"/>
        <v>163.84808565289586</v>
      </c>
      <c r="CU71" s="5">
        <f t="shared" si="141"/>
        <v>148.94350376753388</v>
      </c>
      <c r="CV71" s="5">
        <f t="shared" si="142"/>
        <v>140.61434493257667</v>
      </c>
      <c r="CX71" s="11">
        <v>2027</v>
      </c>
      <c r="CY71" s="13">
        <f t="shared" si="113"/>
        <v>6.0464960686692457</v>
      </c>
      <c r="CZ71" s="13">
        <f t="shared" si="89"/>
        <v>7.7460848474990849</v>
      </c>
      <c r="DA71" s="13">
        <f t="shared" si="89"/>
        <v>8.4307627543747419</v>
      </c>
      <c r="DB71" s="13">
        <f t="shared" si="89"/>
        <v>9.1043505257283908</v>
      </c>
      <c r="DC71" s="13">
        <f t="shared" si="89"/>
        <v>9.757111883058819</v>
      </c>
      <c r="DD71" s="13">
        <f t="shared" si="89"/>
        <v>10.368419644842689</v>
      </c>
      <c r="DE71" s="66">
        <f t="shared" si="89"/>
        <v>10.767462535559279</v>
      </c>
      <c r="DF71" s="66">
        <f t="shared" si="89"/>
        <v>11.263184952539948</v>
      </c>
      <c r="DG71" s="66">
        <f t="shared" si="89"/>
        <v>11.842457420682109</v>
      </c>
      <c r="DH71" s="66">
        <f t="shared" si="89"/>
        <v>12.429534337153493</v>
      </c>
      <c r="DI71" s="66">
        <f t="shared" si="89"/>
        <v>13.089331639734455</v>
      </c>
      <c r="DK71" s="15">
        <v>2027</v>
      </c>
      <c r="DL71" s="16">
        <f t="shared" si="21"/>
        <v>2898.7340524165343</v>
      </c>
      <c r="DM71" s="16">
        <f t="shared" si="22"/>
        <v>2901.7714014536828</v>
      </c>
      <c r="DN71" s="16">
        <f t="shared" si="23"/>
        <v>2659.3172621781609</v>
      </c>
      <c r="DO71" s="16">
        <f t="shared" si="24"/>
        <v>2487.4087605379214</v>
      </c>
      <c r="DP71" s="16">
        <f t="shared" si="25"/>
        <v>2355.5884846844851</v>
      </c>
      <c r="DQ71" s="16">
        <f t="shared" si="26"/>
        <v>2241.6908902981777</v>
      </c>
      <c r="DR71" s="16">
        <f t="shared" si="27"/>
        <v>2104.1294365668123</v>
      </c>
      <c r="DS71" s="16">
        <f t="shared" si="28"/>
        <v>1806.8777719601178</v>
      </c>
      <c r="DT71" s="16">
        <f t="shared" si="29"/>
        <v>1882.153058470554</v>
      </c>
      <c r="DU71" s="16">
        <f t="shared" si="30"/>
        <v>1795.7594425432781</v>
      </c>
      <c r="DV71" s="16">
        <f t="shared" si="31"/>
        <v>1785.331360302715</v>
      </c>
      <c r="DW71" s="15">
        <f t="shared" si="32"/>
        <v>24918761.921412438</v>
      </c>
      <c r="DX71" s="15">
        <v>124531400</v>
      </c>
      <c r="DY71" s="15">
        <f t="shared" si="33"/>
        <v>149450161.92141244</v>
      </c>
      <c r="EA71" s="21">
        <v>2027</v>
      </c>
      <c r="EB71" s="24">
        <f t="shared" si="34"/>
        <v>2898.7340524165343</v>
      </c>
      <c r="EC71" s="24">
        <f t="shared" si="35"/>
        <v>2901.7714014536828</v>
      </c>
      <c r="ED71" s="24">
        <f t="shared" si="36"/>
        <v>2659.3172621781609</v>
      </c>
      <c r="EE71" s="24">
        <f t="shared" si="37"/>
        <v>2487.4087605379214</v>
      </c>
      <c r="EF71" s="24">
        <f t="shared" si="38"/>
        <v>2355.5884846844851</v>
      </c>
      <c r="EG71" s="24">
        <f t="shared" si="39"/>
        <v>2241.6908902981777</v>
      </c>
      <c r="EH71" s="24">
        <f t="shared" si="40"/>
        <v>2104.1294365668123</v>
      </c>
      <c r="EI71" s="24">
        <f t="shared" si="41"/>
        <v>1445.5022175680945</v>
      </c>
      <c r="EJ71" s="24">
        <f t="shared" si="42"/>
        <v>1940.3639778046945</v>
      </c>
      <c r="EK71" s="24">
        <f t="shared" si="43"/>
        <v>1851.298394374513</v>
      </c>
      <c r="EL71" s="24">
        <f t="shared" si="44"/>
        <v>1840.5477941265101</v>
      </c>
      <c r="EM71" s="21">
        <f t="shared" si="45"/>
        <v>24726352.672009587</v>
      </c>
      <c r="EN71" s="21">
        <v>124531400</v>
      </c>
      <c r="EO71" s="21">
        <f t="shared" si="46"/>
        <v>149257752.67200959</v>
      </c>
      <c r="EQ71" s="11">
        <v>2027</v>
      </c>
      <c r="ER71" s="11">
        <f t="shared" si="47"/>
        <v>2898.7340524165343</v>
      </c>
      <c r="ES71" s="11">
        <f t="shared" si="48"/>
        <v>2901.7714014536828</v>
      </c>
      <c r="ET71" s="11">
        <f t="shared" si="49"/>
        <v>2659.3172621781609</v>
      </c>
      <c r="EU71" s="11">
        <f t="shared" si="50"/>
        <v>2487.4087605379214</v>
      </c>
      <c r="EV71" s="11">
        <f t="shared" si="51"/>
        <v>2355.5884846844851</v>
      </c>
      <c r="EW71" s="11">
        <f t="shared" si="52"/>
        <v>2241.6908902981777</v>
      </c>
      <c r="EX71" s="11">
        <f t="shared" si="53"/>
        <v>2104.1294365668123</v>
      </c>
      <c r="EY71" s="11">
        <f t="shared" si="54"/>
        <v>1606.1135750756605</v>
      </c>
      <c r="EZ71" s="11">
        <f t="shared" si="55"/>
        <v>1882.153058470554</v>
      </c>
      <c r="FA71" s="11">
        <f t="shared" si="56"/>
        <v>1795.7594425432781</v>
      </c>
      <c r="FB71" s="11">
        <f t="shared" si="57"/>
        <v>1785.331360302715</v>
      </c>
      <c r="FC71" s="11">
        <f t="shared" si="58"/>
        <v>24717997.724527985</v>
      </c>
      <c r="FD71" s="11">
        <v>124531400</v>
      </c>
      <c r="FE71" s="11">
        <f t="shared" si="59"/>
        <v>149249397.72452798</v>
      </c>
    </row>
    <row r="72" spans="1:161" x14ac:dyDescent="0.3">
      <c r="A72" s="15">
        <v>2028</v>
      </c>
      <c r="B72" s="16">
        <f>MAX(IF($P12=1,B19,IF($P12=0,$B$18*(1+$F$5)-($B$18*$F$5)*$V12,B19-($B$3-1)*($B$18-B19)+($B$18*(1+$F$5)-(B19-($B$3-1)*($B$18-B19)))*(1-$P12))),0)</f>
        <v>479.40725000000003</v>
      </c>
      <c r="C72" s="16">
        <f t="shared" si="90"/>
        <v>374.61136284745885</v>
      </c>
      <c r="D72" s="16">
        <f t="shared" si="91"/>
        <v>315.43020953806763</v>
      </c>
      <c r="E72" s="16">
        <f t="shared" si="92"/>
        <v>273.21100538787931</v>
      </c>
      <c r="F72" s="16">
        <f t="shared" si="93"/>
        <v>241.42271943959884</v>
      </c>
      <c r="G72" s="16">
        <f t="shared" si="94"/>
        <v>216.2037192826399</v>
      </c>
      <c r="H72" s="59">
        <f t="shared" si="95"/>
        <v>195.41553356865435</v>
      </c>
      <c r="I72" s="59">
        <f t="shared" si="96"/>
        <v>178.2481578083146</v>
      </c>
      <c r="J72" s="59">
        <f t="shared" si="97"/>
        <v>131.07846852231674</v>
      </c>
      <c r="K72" s="59">
        <f t="shared" si="98"/>
        <v>147.07203088594039</v>
      </c>
      <c r="L72" s="59">
        <f t="shared" si="99"/>
        <v>134.51671813554506</v>
      </c>
      <c r="M72" s="16"/>
      <c r="N72" s="19"/>
      <c r="O72" s="56"/>
      <c r="P72" s="56"/>
      <c r="R72" s="24">
        <v>2028</v>
      </c>
      <c r="S72" s="23">
        <f t="shared" ref="S72:AB72" si="155">MIN(IF($R12=1,S$19,IF($R12=0,S$18*(1+$H$5)-(S$18*$H$5)*$X12,S$19-($D$3-1)*(S$18-S$19)+(S$18*(1+$H$5)-(S$19-($D$3-1)*(S$18-S$19)))*(1-$R12))),1)</f>
        <v>0.78140529340651155</v>
      </c>
      <c r="T72" s="23">
        <f t="shared" si="155"/>
        <v>0.84201986597643674</v>
      </c>
      <c r="U72" s="23">
        <f t="shared" si="155"/>
        <v>0.86615358049561486</v>
      </c>
      <c r="V72" s="23">
        <f t="shared" si="155"/>
        <v>0.88364932114227812</v>
      </c>
      <c r="W72" s="23">
        <f t="shared" si="155"/>
        <v>0.89554007089515686</v>
      </c>
      <c r="X72" s="60">
        <f t="shared" si="155"/>
        <v>0.90384908371160144</v>
      </c>
      <c r="Y72" s="60">
        <f t="shared" si="155"/>
        <v>0.91214938010898494</v>
      </c>
      <c r="Z72" s="60">
        <f t="shared" si="155"/>
        <v>0.91921334653621301</v>
      </c>
      <c r="AA72" s="60">
        <f t="shared" si="155"/>
        <v>0.92537334076076772</v>
      </c>
      <c r="AB72" s="60">
        <f t="shared" si="155"/>
        <v>0.93107134918860956</v>
      </c>
      <c r="AC72" s="60">
        <f t="shared" si="115"/>
        <v>0.8738298206816032</v>
      </c>
      <c r="AD72" s="21"/>
      <c r="AE72" s="21"/>
      <c r="AF72" s="21"/>
      <c r="AH72" s="11">
        <v>2028</v>
      </c>
      <c r="AI72" s="13">
        <f t="shared" si="118"/>
        <v>6.0464960686692457</v>
      </c>
      <c r="AJ72" s="13">
        <f t="shared" si="144"/>
        <v>7.7460848474990849</v>
      </c>
      <c r="AK72" s="13">
        <f t="shared" si="146"/>
        <v>8.4307627543747419</v>
      </c>
      <c r="AL72" s="13">
        <f t="shared" si="148"/>
        <v>9.1043505257283908</v>
      </c>
      <c r="AM72" s="13">
        <f t="shared" si="150"/>
        <v>9.757111883058819</v>
      </c>
      <c r="AN72" s="13">
        <f t="shared" si="152"/>
        <v>10.368419644842689</v>
      </c>
      <c r="AO72" s="66">
        <f t="shared" si="154"/>
        <v>10.767462535559279</v>
      </c>
      <c r="AP72" s="66">
        <f t="shared" ref="AP72:AP74" si="156">IF($Q5=1,AP$19,IF($Q5=0,AP$18*(1+$G$5)-(AP$18*$G$5)*$W5,AP$19-($C$3-1)*(AP$18-AP$19)+(AP$18*(1+$G$5)-(AP$19-($C$3-1)*(AP$18-AP$19)))*$Q5))</f>
        <v>11.263184952539948</v>
      </c>
      <c r="AQ72" s="66">
        <f>IF($Q4=1,AQ$19,IF($Q4=0,AQ$18*(1+$G$5)-(AQ$18*$G$5)*$W4,AQ$19-($C$3-1)*(AQ$18-AQ$19)+(AQ$18*(1+$G$5)-(AQ$19-($C$3-1)*(AQ$18-AQ$19)))*$Q4))</f>
        <v>10.658211678613899</v>
      </c>
      <c r="AR72" s="66">
        <f t="shared" si="86"/>
        <v>12.429534337153493</v>
      </c>
      <c r="AS72" s="66">
        <f t="shared" si="86"/>
        <v>13.089331639734455</v>
      </c>
      <c r="AT72" s="66">
        <f t="shared" si="65"/>
        <v>8.1800890348141611</v>
      </c>
      <c r="AU72" s="13"/>
      <c r="AV72" s="13"/>
      <c r="AW72" s="13"/>
      <c r="AY72" s="36">
        <v>2028</v>
      </c>
      <c r="AZ72" s="37">
        <f t="shared" si="14"/>
        <v>2898.7340524165343</v>
      </c>
      <c r="BA72" s="37">
        <f t="shared" si="15"/>
        <v>2901.7714014536828</v>
      </c>
      <c r="BB72" s="37">
        <f t="shared" si="60"/>
        <v>2659.3172621781609</v>
      </c>
      <c r="BC72" s="37">
        <f t="shared" si="61"/>
        <v>2487.4087605379214</v>
      </c>
      <c r="BD72" s="37">
        <f t="shared" si="62"/>
        <v>2355.5884846844851</v>
      </c>
      <c r="BE72" s="37">
        <f t="shared" si="63"/>
        <v>2241.6908902981777</v>
      </c>
      <c r="BF72" s="37">
        <f t="shared" si="66"/>
        <v>2104.1294365668123</v>
      </c>
      <c r="BG72" s="37">
        <f t="shared" si="67"/>
        <v>2007.6419688445751</v>
      </c>
      <c r="BH72" s="37">
        <f t="shared" si="68"/>
        <v>1397.0620640193806</v>
      </c>
      <c r="BI72" s="37">
        <f t="shared" si="69"/>
        <v>1828.0368579316951</v>
      </c>
      <c r="BJ72" s="37">
        <f t="shared" si="70"/>
        <v>1760.7339347648315</v>
      </c>
      <c r="BK72" s="36">
        <f t="shared" si="16"/>
        <v>24642115.113696259</v>
      </c>
      <c r="BL72" s="40">
        <f t="shared" si="74"/>
        <v>126686700</v>
      </c>
      <c r="BM72" s="38">
        <f t="shared" si="17"/>
        <v>151328815.11369625</v>
      </c>
      <c r="BN72" s="38">
        <v>151983109.93859589</v>
      </c>
      <c r="BO72" s="39">
        <f t="shared" si="18"/>
        <v>151678080.62970111</v>
      </c>
      <c r="BP72" s="39">
        <f t="shared" si="19"/>
        <v>151484044.23192063</v>
      </c>
      <c r="BQ72" s="39">
        <f t="shared" si="20"/>
        <v>151439808.02481058</v>
      </c>
      <c r="BR72" s="39">
        <f t="shared" si="105"/>
        <v>-0.30502930889478325</v>
      </c>
      <c r="BS72" s="68">
        <f t="shared" si="106"/>
        <v>-0.65429482489964363</v>
      </c>
      <c r="BT72" s="68">
        <f t="shared" si="107"/>
        <v>-0.30502930889478325</v>
      </c>
      <c r="BU72" s="68">
        <f t="shared" si="108"/>
        <v>-0.49906570667526123</v>
      </c>
      <c r="BV72" s="68">
        <f t="shared" si="109"/>
        <v>-0.54330191378530857</v>
      </c>
      <c r="BW72" s="44"/>
      <c r="BX72" s="15">
        <v>2028</v>
      </c>
      <c r="BY72" s="16">
        <f t="shared" si="110"/>
        <v>479.40725000000003</v>
      </c>
      <c r="BZ72" s="16">
        <f t="shared" si="122"/>
        <v>374.61136284745885</v>
      </c>
      <c r="CA72" s="16">
        <f t="shared" si="123"/>
        <v>315.43020953806763</v>
      </c>
      <c r="CB72" s="16">
        <f t="shared" si="124"/>
        <v>273.21100538787931</v>
      </c>
      <c r="CC72" s="16">
        <f t="shared" si="125"/>
        <v>241.42271943959884</v>
      </c>
      <c r="CD72" s="16">
        <f t="shared" si="126"/>
        <v>216.2037192826399</v>
      </c>
      <c r="CE72" s="59">
        <f t="shared" si="127"/>
        <v>195.41553356865435</v>
      </c>
      <c r="CF72" s="59">
        <f t="shared" si="128"/>
        <v>178.2481578083146</v>
      </c>
      <c r="CG72" s="59">
        <f t="shared" si="129"/>
        <v>163.84808565289586</v>
      </c>
      <c r="CH72" s="59">
        <f t="shared" si="130"/>
        <v>147.07203088594039</v>
      </c>
      <c r="CI72" s="59">
        <f t="shared" si="131"/>
        <v>134.51671813554506</v>
      </c>
      <c r="CK72" s="21">
        <v>2028</v>
      </c>
      <c r="CL72" s="24">
        <f t="shared" si="132"/>
        <v>479.40725000000003</v>
      </c>
      <c r="CM72" s="24">
        <f t="shared" si="133"/>
        <v>374.61136284745885</v>
      </c>
      <c r="CN72" s="24">
        <f t="shared" si="134"/>
        <v>315.43020953806763</v>
      </c>
      <c r="CO72" s="24">
        <f t="shared" si="135"/>
        <v>273.21100538787931</v>
      </c>
      <c r="CP72" s="24">
        <f t="shared" si="136"/>
        <v>241.42271943959884</v>
      </c>
      <c r="CQ72" s="24">
        <f t="shared" si="137"/>
        <v>216.2037192826399</v>
      </c>
      <c r="CR72" s="5">
        <f t="shared" si="138"/>
        <v>195.41553356865435</v>
      </c>
      <c r="CS72" s="5">
        <f t="shared" si="139"/>
        <v>178.2481578083146</v>
      </c>
      <c r="CT72" s="5">
        <f t="shared" si="140"/>
        <v>131.07846852231674</v>
      </c>
      <c r="CU72" s="5">
        <f t="shared" si="141"/>
        <v>151.62065039787666</v>
      </c>
      <c r="CV72" s="5">
        <f t="shared" si="142"/>
        <v>138.67702900571652</v>
      </c>
      <c r="CX72" s="11">
        <v>2028</v>
      </c>
      <c r="CY72" s="13">
        <f t="shared" si="113"/>
        <v>6.0464960686692457</v>
      </c>
      <c r="CZ72" s="13">
        <f t="shared" si="89"/>
        <v>7.7460848474990849</v>
      </c>
      <c r="DA72" s="13">
        <f t="shared" si="89"/>
        <v>8.4307627543747419</v>
      </c>
      <c r="DB72" s="13">
        <f t="shared" si="89"/>
        <v>9.1043505257283908</v>
      </c>
      <c r="DC72" s="13">
        <f t="shared" si="89"/>
        <v>9.757111883058819</v>
      </c>
      <c r="DD72" s="13">
        <f t="shared" si="89"/>
        <v>10.368419644842689</v>
      </c>
      <c r="DE72" s="66">
        <f t="shared" si="89"/>
        <v>10.767462535559279</v>
      </c>
      <c r="DF72" s="66">
        <f t="shared" si="89"/>
        <v>11.263184952539948</v>
      </c>
      <c r="DG72" s="66">
        <f t="shared" si="89"/>
        <v>11.842457420682109</v>
      </c>
      <c r="DH72" s="66">
        <f t="shared" si="89"/>
        <v>12.429534337153493</v>
      </c>
      <c r="DI72" s="66">
        <f t="shared" si="89"/>
        <v>13.089331639734455</v>
      </c>
      <c r="DK72" s="15">
        <v>2028</v>
      </c>
      <c r="DL72" s="16">
        <f t="shared" si="21"/>
        <v>2898.7340524165343</v>
      </c>
      <c r="DM72" s="16">
        <f t="shared" si="22"/>
        <v>2901.7714014536828</v>
      </c>
      <c r="DN72" s="16">
        <f t="shared" si="23"/>
        <v>2659.3172621781609</v>
      </c>
      <c r="DO72" s="16">
        <f t="shared" si="24"/>
        <v>2487.4087605379214</v>
      </c>
      <c r="DP72" s="16">
        <f t="shared" si="25"/>
        <v>2355.5884846844851</v>
      </c>
      <c r="DQ72" s="16">
        <f t="shared" si="26"/>
        <v>2241.6908902981777</v>
      </c>
      <c r="DR72" s="16">
        <f t="shared" si="27"/>
        <v>2104.1294365668123</v>
      </c>
      <c r="DS72" s="16">
        <f t="shared" si="28"/>
        <v>2007.6419688445751</v>
      </c>
      <c r="DT72" s="16">
        <f t="shared" si="29"/>
        <v>1746.3275800242252</v>
      </c>
      <c r="DU72" s="16">
        <f t="shared" si="30"/>
        <v>1828.0368579316951</v>
      </c>
      <c r="DV72" s="16">
        <f t="shared" si="31"/>
        <v>1760.7339347648315</v>
      </c>
      <c r="DW72" s="15">
        <f t="shared" si="32"/>
        <v>24991380.629701104</v>
      </c>
      <c r="DX72" s="15">
        <v>126686700</v>
      </c>
      <c r="DY72" s="15">
        <f t="shared" si="33"/>
        <v>151678080.62970111</v>
      </c>
      <c r="EA72" s="21">
        <v>2028</v>
      </c>
      <c r="EB72" s="24">
        <f t="shared" si="34"/>
        <v>2898.7340524165343</v>
      </c>
      <c r="EC72" s="24">
        <f t="shared" si="35"/>
        <v>2901.7714014536828</v>
      </c>
      <c r="ED72" s="24">
        <f t="shared" si="36"/>
        <v>2659.3172621781609</v>
      </c>
      <c r="EE72" s="24">
        <f t="shared" si="37"/>
        <v>2487.4087605379214</v>
      </c>
      <c r="EF72" s="24">
        <f t="shared" si="38"/>
        <v>2355.5884846844851</v>
      </c>
      <c r="EG72" s="24">
        <f t="shared" si="39"/>
        <v>2241.6908902981777</v>
      </c>
      <c r="EH72" s="24">
        <f t="shared" si="40"/>
        <v>2104.1294365668123</v>
      </c>
      <c r="EI72" s="24">
        <f t="shared" si="41"/>
        <v>2007.6419688445751</v>
      </c>
      <c r="EJ72" s="24">
        <f t="shared" si="42"/>
        <v>1397.0620640193806</v>
      </c>
      <c r="EK72" s="24">
        <f t="shared" si="43"/>
        <v>1884.5740803419533</v>
      </c>
      <c r="EL72" s="24">
        <f t="shared" si="44"/>
        <v>1815.1896234688979</v>
      </c>
      <c r="EM72" s="21">
        <f t="shared" si="45"/>
        <v>24753108.024810582</v>
      </c>
      <c r="EN72" s="21">
        <v>126686700</v>
      </c>
      <c r="EO72" s="21">
        <f t="shared" si="46"/>
        <v>151439808.02481058</v>
      </c>
      <c r="EQ72" s="11">
        <v>2028</v>
      </c>
      <c r="ER72" s="11">
        <f t="shared" si="47"/>
        <v>2898.7340524165343</v>
      </c>
      <c r="ES72" s="11">
        <f t="shared" si="48"/>
        <v>2901.7714014536828</v>
      </c>
      <c r="ET72" s="11">
        <f t="shared" si="49"/>
        <v>2659.3172621781609</v>
      </c>
      <c r="EU72" s="11">
        <f t="shared" si="50"/>
        <v>2487.4087605379214</v>
      </c>
      <c r="EV72" s="11">
        <f t="shared" si="51"/>
        <v>2355.5884846844851</v>
      </c>
      <c r="EW72" s="11">
        <f t="shared" si="52"/>
        <v>2241.6908902981777</v>
      </c>
      <c r="EX72" s="11">
        <f t="shared" si="53"/>
        <v>2104.1294365668123</v>
      </c>
      <c r="EY72" s="11">
        <f t="shared" si="54"/>
        <v>2007.6419688445751</v>
      </c>
      <c r="EZ72" s="11">
        <f t="shared" si="55"/>
        <v>1552.2911822437561</v>
      </c>
      <c r="FA72" s="11">
        <f t="shared" si="56"/>
        <v>1828.0368579316951</v>
      </c>
      <c r="FB72" s="11">
        <f t="shared" si="57"/>
        <v>1760.7339347648315</v>
      </c>
      <c r="FC72" s="11">
        <f t="shared" si="58"/>
        <v>24797344.231920633</v>
      </c>
      <c r="FD72" s="11">
        <v>126686700</v>
      </c>
      <c r="FE72" s="11">
        <f t="shared" si="59"/>
        <v>151484044.23192063</v>
      </c>
    </row>
    <row r="73" spans="1:161" x14ac:dyDescent="0.3">
      <c r="A73" s="15">
        <v>2029</v>
      </c>
      <c r="B73" s="16">
        <f>MAX(IF($P13=1,B19,IF($P13=0,$B$18*(1+$F$5)-($B$18*$F$5)*$V13,B19-($B$3-1)*($B$18-B19)+($B$18*(1+$F$5)-(B19-($B$3-1)*($B$18-B19)))*(1-$P13))),0)</f>
        <v>479.40725000000003</v>
      </c>
      <c r="C73" s="16">
        <f t="shared" si="90"/>
        <v>374.61136284745885</v>
      </c>
      <c r="D73" s="16">
        <f t="shared" si="91"/>
        <v>315.43020953806763</v>
      </c>
      <c r="E73" s="16">
        <f t="shared" si="92"/>
        <v>273.21100538787931</v>
      </c>
      <c r="F73" s="16">
        <f t="shared" si="93"/>
        <v>241.42271943959884</v>
      </c>
      <c r="G73" s="16">
        <f t="shared" si="94"/>
        <v>216.2037192826399</v>
      </c>
      <c r="H73" s="59">
        <f t="shared" si="95"/>
        <v>195.41553356865435</v>
      </c>
      <c r="I73" s="59">
        <f t="shared" si="96"/>
        <v>178.2481578083146</v>
      </c>
      <c r="J73" s="59">
        <f t="shared" si="97"/>
        <v>163.84808565289586</v>
      </c>
      <c r="K73" s="59">
        <f t="shared" si="98"/>
        <v>121.29652031830138</v>
      </c>
      <c r="L73" s="59">
        <f t="shared" si="99"/>
        <v>136.93455422488137</v>
      </c>
      <c r="M73" s="16"/>
      <c r="N73" s="19"/>
      <c r="O73" s="56"/>
      <c r="P73" s="56"/>
      <c r="R73" s="24">
        <v>2029</v>
      </c>
      <c r="S73" s="23">
        <f t="shared" ref="S73:AB73" si="157">MIN(IF($R13=1,S$19,IF($R13=0,S$18*(1+$H$5)-(S$18*$H$5)*$X13,S$19-($D$3-1)*(S$18-S$19)+(S$18*(1+$H$5)-(S$19-($D$3-1)*(S$18-S$19)))*(1-$R13))),1)</f>
        <v>0.78140529340651155</v>
      </c>
      <c r="T73" s="23">
        <f t="shared" si="157"/>
        <v>0.84201986597643674</v>
      </c>
      <c r="U73" s="23">
        <f t="shared" si="157"/>
        <v>0.86615358049561486</v>
      </c>
      <c r="V73" s="23">
        <f t="shared" si="157"/>
        <v>0.88364932114227812</v>
      </c>
      <c r="W73" s="23">
        <f t="shared" si="157"/>
        <v>0.89554007089515686</v>
      </c>
      <c r="X73" s="60">
        <f t="shared" si="157"/>
        <v>0.90384908371160144</v>
      </c>
      <c r="Y73" s="60">
        <f t="shared" si="157"/>
        <v>0.91214938010898494</v>
      </c>
      <c r="Z73" s="60">
        <f t="shared" si="157"/>
        <v>0.91921334653621301</v>
      </c>
      <c r="AA73" s="60">
        <f t="shared" si="157"/>
        <v>0.92537334076076772</v>
      </c>
      <c r="AB73" s="60">
        <f t="shared" si="157"/>
        <v>0.93107134918860956</v>
      </c>
      <c r="AC73" s="60">
        <f t="shared" si="115"/>
        <v>0.8738298206816032</v>
      </c>
      <c r="AD73" s="21"/>
      <c r="AE73" s="21"/>
      <c r="AF73" s="21"/>
      <c r="AH73" s="11">
        <v>2029</v>
      </c>
      <c r="AI73" s="13">
        <f t="shared" si="118"/>
        <v>6.0464960686692457</v>
      </c>
      <c r="AJ73" s="13">
        <f t="shared" si="144"/>
        <v>7.7460848474990849</v>
      </c>
      <c r="AK73" s="13">
        <f t="shared" si="146"/>
        <v>8.4307627543747419</v>
      </c>
      <c r="AL73" s="13">
        <f t="shared" si="148"/>
        <v>9.1043505257283908</v>
      </c>
      <c r="AM73" s="13">
        <f t="shared" si="150"/>
        <v>9.757111883058819</v>
      </c>
      <c r="AN73" s="13">
        <f t="shared" si="152"/>
        <v>10.368419644842689</v>
      </c>
      <c r="AO73" s="66">
        <f t="shared" si="154"/>
        <v>10.767462535559279</v>
      </c>
      <c r="AP73" s="66">
        <f t="shared" si="156"/>
        <v>11.263184952539948</v>
      </c>
      <c r="AQ73" s="66">
        <f t="shared" ref="AQ73:AQ74" si="158">IF($Q5=1,AQ$19,IF($Q5=0,AQ$18*(1+$G$5)-(AQ$18*$G$5)*$W5,AQ$19-($C$3-1)*(AQ$18-AQ$19)+(AQ$18*(1+$G$5)-(AQ$19-($C$3-1)*(AQ$18-AQ$19)))*$Q5))</f>
        <v>11.842457420682109</v>
      </c>
      <c r="AR73" s="66">
        <f>IF($Q4=1,AR$19,IF($Q4=0,AR$18*(1+$G$5)-(AR$18*$G$5)*$W4,AR$19-($C$3-1)*(AR$18-AR$19)+(AR$18*(1+$G$5)-(AR$19-($C$3-1)*(AR$18-AR$19)))*$Q4))</f>
        <v>11.186580903438143</v>
      </c>
      <c r="AS73" s="66">
        <f t="shared" si="86"/>
        <v>13.089331639734455</v>
      </c>
      <c r="AT73" s="66">
        <f t="shared" si="65"/>
        <v>8.1800890348141611</v>
      </c>
      <c r="AU73" s="13"/>
      <c r="AV73" s="13"/>
      <c r="AW73" s="13"/>
      <c r="AY73" s="36">
        <v>2029</v>
      </c>
      <c r="AZ73" s="37">
        <f t="shared" si="14"/>
        <v>2898.7340524165343</v>
      </c>
      <c r="BA73" s="37">
        <f t="shared" si="15"/>
        <v>2901.7714014536828</v>
      </c>
      <c r="BB73" s="37">
        <f t="shared" si="60"/>
        <v>2659.3172621781609</v>
      </c>
      <c r="BC73" s="37">
        <f t="shared" si="61"/>
        <v>2487.4087605379214</v>
      </c>
      <c r="BD73" s="37">
        <f t="shared" si="62"/>
        <v>2355.5884846844851</v>
      </c>
      <c r="BE73" s="37">
        <f t="shared" si="63"/>
        <v>2241.6908902981777</v>
      </c>
      <c r="BF73" s="37">
        <f t="shared" si="66"/>
        <v>2104.1294365668123</v>
      </c>
      <c r="BG73" s="37">
        <f t="shared" si="67"/>
        <v>2007.6419688445751</v>
      </c>
      <c r="BH73" s="37">
        <f t="shared" si="68"/>
        <v>1940.3639778046945</v>
      </c>
      <c r="BI73" s="37">
        <f t="shared" si="69"/>
        <v>1356.8933378462068</v>
      </c>
      <c r="BJ73" s="37">
        <f t="shared" si="70"/>
        <v>1792.3817931886731</v>
      </c>
      <c r="BK73" s="36">
        <f t="shared" si="16"/>
        <v>24745921.365819927</v>
      </c>
      <c r="BL73" s="40">
        <f t="shared" si="74"/>
        <v>128842000</v>
      </c>
      <c r="BM73" s="38">
        <f t="shared" si="17"/>
        <v>153587921.36581993</v>
      </c>
      <c r="BN73" s="38">
        <v>154171036.5967648</v>
      </c>
      <c r="BO73" s="39">
        <f t="shared" si="18"/>
        <v>153927144.70028147</v>
      </c>
      <c r="BP73" s="39">
        <f t="shared" si="19"/>
        <v>153738687.2922473</v>
      </c>
      <c r="BQ73" s="39">
        <f t="shared" si="20"/>
        <v>153643355.85426906</v>
      </c>
      <c r="BR73" s="39">
        <f t="shared" si="105"/>
        <v>-0.24389189648333193</v>
      </c>
      <c r="BS73" s="68">
        <f t="shared" si="106"/>
        <v>-0.58311523094487194</v>
      </c>
      <c r="BT73" s="68">
        <f t="shared" si="107"/>
        <v>-0.24389189648333193</v>
      </c>
      <c r="BU73" s="68">
        <f t="shared" si="108"/>
        <v>-0.43234930451750753</v>
      </c>
      <c r="BV73" s="68">
        <f t="shared" si="109"/>
        <v>-0.52768074249574537</v>
      </c>
      <c r="BW73" s="44"/>
      <c r="BX73" s="15">
        <v>2029</v>
      </c>
      <c r="BY73" s="16">
        <f t="shared" si="110"/>
        <v>479.40725000000003</v>
      </c>
      <c r="BZ73" s="16">
        <f t="shared" si="122"/>
        <v>374.61136284745885</v>
      </c>
      <c r="CA73" s="16">
        <f t="shared" si="123"/>
        <v>315.43020953806763</v>
      </c>
      <c r="CB73" s="16">
        <f t="shared" si="124"/>
        <v>273.21100538787931</v>
      </c>
      <c r="CC73" s="16">
        <f t="shared" si="125"/>
        <v>241.42271943959884</v>
      </c>
      <c r="CD73" s="16">
        <f t="shared" si="126"/>
        <v>216.2037192826399</v>
      </c>
      <c r="CE73" s="59">
        <f t="shared" si="127"/>
        <v>195.41553356865435</v>
      </c>
      <c r="CF73" s="59">
        <f t="shared" si="128"/>
        <v>178.2481578083146</v>
      </c>
      <c r="CG73" s="59">
        <f t="shared" si="129"/>
        <v>163.84808565289586</v>
      </c>
      <c r="CH73" s="59">
        <f t="shared" si="130"/>
        <v>151.62065039787666</v>
      </c>
      <c r="CI73" s="59">
        <f t="shared" si="131"/>
        <v>136.93455422488137</v>
      </c>
      <c r="CK73" s="21">
        <v>2029</v>
      </c>
      <c r="CL73" s="24">
        <f t="shared" si="132"/>
        <v>479.40725000000003</v>
      </c>
      <c r="CM73" s="24">
        <f t="shared" si="133"/>
        <v>374.61136284745885</v>
      </c>
      <c r="CN73" s="24">
        <f t="shared" si="134"/>
        <v>315.43020953806763</v>
      </c>
      <c r="CO73" s="24">
        <f t="shared" si="135"/>
        <v>273.21100538787931</v>
      </c>
      <c r="CP73" s="24">
        <f t="shared" si="136"/>
        <v>241.42271943959884</v>
      </c>
      <c r="CQ73" s="24">
        <f t="shared" si="137"/>
        <v>216.2037192826399</v>
      </c>
      <c r="CR73" s="5">
        <f t="shared" si="138"/>
        <v>195.41553356865435</v>
      </c>
      <c r="CS73" s="5">
        <f t="shared" si="139"/>
        <v>178.2481578083146</v>
      </c>
      <c r="CT73" s="5">
        <f t="shared" si="140"/>
        <v>163.84808565289586</v>
      </c>
      <c r="CU73" s="5">
        <f t="shared" si="141"/>
        <v>121.29652031830138</v>
      </c>
      <c r="CV73" s="5">
        <f t="shared" si="142"/>
        <v>141.1696435308055</v>
      </c>
      <c r="CX73" s="11">
        <v>2029</v>
      </c>
      <c r="CY73" s="13">
        <f t="shared" si="113"/>
        <v>6.0464960686692457</v>
      </c>
      <c r="CZ73" s="13">
        <f t="shared" si="89"/>
        <v>7.7460848474990849</v>
      </c>
      <c r="DA73" s="13">
        <f t="shared" si="89"/>
        <v>8.4307627543747419</v>
      </c>
      <c r="DB73" s="13">
        <f t="shared" si="89"/>
        <v>9.1043505257283908</v>
      </c>
      <c r="DC73" s="13">
        <f t="shared" si="89"/>
        <v>9.757111883058819</v>
      </c>
      <c r="DD73" s="13">
        <f t="shared" si="89"/>
        <v>10.368419644842689</v>
      </c>
      <c r="DE73" s="66">
        <f t="shared" si="89"/>
        <v>10.767462535559279</v>
      </c>
      <c r="DF73" s="66">
        <f t="shared" si="89"/>
        <v>11.263184952539948</v>
      </c>
      <c r="DG73" s="66">
        <f t="shared" si="89"/>
        <v>11.842457420682109</v>
      </c>
      <c r="DH73" s="66">
        <f t="shared" si="89"/>
        <v>12.429534337153493</v>
      </c>
      <c r="DI73" s="66">
        <f t="shared" si="89"/>
        <v>13.089331639734455</v>
      </c>
      <c r="DK73" s="15">
        <v>2029</v>
      </c>
      <c r="DL73" s="16">
        <f t="shared" si="21"/>
        <v>2898.7340524165343</v>
      </c>
      <c r="DM73" s="16">
        <f t="shared" si="22"/>
        <v>2901.7714014536828</v>
      </c>
      <c r="DN73" s="16">
        <f t="shared" si="23"/>
        <v>2659.3172621781609</v>
      </c>
      <c r="DO73" s="16">
        <f t="shared" si="24"/>
        <v>2487.4087605379214</v>
      </c>
      <c r="DP73" s="16">
        <f t="shared" si="25"/>
        <v>2355.5884846844851</v>
      </c>
      <c r="DQ73" s="16">
        <f t="shared" si="26"/>
        <v>2241.6908902981777</v>
      </c>
      <c r="DR73" s="16">
        <f t="shared" si="27"/>
        <v>2104.1294365668123</v>
      </c>
      <c r="DS73" s="16">
        <f t="shared" si="28"/>
        <v>2007.6419688445751</v>
      </c>
      <c r="DT73" s="16">
        <f t="shared" si="29"/>
        <v>1940.3639778046945</v>
      </c>
      <c r="DU73" s="16">
        <f t="shared" si="30"/>
        <v>1696.1166723077579</v>
      </c>
      <c r="DV73" s="16">
        <f t="shared" si="31"/>
        <v>1792.3817931886731</v>
      </c>
      <c r="DW73" s="15">
        <f t="shared" si="32"/>
        <v>25085144.700281478</v>
      </c>
      <c r="DX73" s="15">
        <v>128842000</v>
      </c>
      <c r="DY73" s="15">
        <f t="shared" si="33"/>
        <v>153927144.70028147</v>
      </c>
      <c r="EA73" s="21">
        <v>2029</v>
      </c>
      <c r="EB73" s="24">
        <f t="shared" si="34"/>
        <v>2898.7340524165343</v>
      </c>
      <c r="EC73" s="24">
        <f t="shared" si="35"/>
        <v>2901.7714014536828</v>
      </c>
      <c r="ED73" s="24">
        <f t="shared" si="36"/>
        <v>2659.3172621781609</v>
      </c>
      <c r="EE73" s="24">
        <f t="shared" si="37"/>
        <v>2487.4087605379214</v>
      </c>
      <c r="EF73" s="24">
        <f t="shared" si="38"/>
        <v>2355.5884846844851</v>
      </c>
      <c r="EG73" s="24">
        <f t="shared" si="39"/>
        <v>2241.6908902981777</v>
      </c>
      <c r="EH73" s="24">
        <f t="shared" si="40"/>
        <v>2104.1294365668123</v>
      </c>
      <c r="EI73" s="24">
        <f t="shared" si="41"/>
        <v>2007.6419688445751</v>
      </c>
      <c r="EJ73" s="24">
        <f t="shared" si="42"/>
        <v>1940.3639778046945</v>
      </c>
      <c r="EK73" s="24">
        <f t="shared" si="43"/>
        <v>1356.8933378462068</v>
      </c>
      <c r="EL73" s="24">
        <f t="shared" si="44"/>
        <v>1847.8162816378069</v>
      </c>
      <c r="EM73" s="21">
        <f t="shared" si="45"/>
        <v>24801355.854269058</v>
      </c>
      <c r="EN73" s="21">
        <v>128842000</v>
      </c>
      <c r="EO73" s="21">
        <f t="shared" si="46"/>
        <v>153643355.85426906</v>
      </c>
      <c r="EQ73" s="11">
        <v>2029</v>
      </c>
      <c r="ER73" s="11">
        <f t="shared" si="47"/>
        <v>2898.7340524165343</v>
      </c>
      <c r="ES73" s="11">
        <f t="shared" si="48"/>
        <v>2901.7714014536828</v>
      </c>
      <c r="ET73" s="11">
        <f t="shared" si="49"/>
        <v>2659.3172621781609</v>
      </c>
      <c r="EU73" s="11">
        <f t="shared" si="50"/>
        <v>2487.4087605379214</v>
      </c>
      <c r="EV73" s="11">
        <f t="shared" si="51"/>
        <v>2355.5884846844851</v>
      </c>
      <c r="EW73" s="11">
        <f t="shared" si="52"/>
        <v>2241.6908902981777</v>
      </c>
      <c r="EX73" s="11">
        <f t="shared" si="53"/>
        <v>2104.1294365668123</v>
      </c>
      <c r="EY73" s="11">
        <f t="shared" si="54"/>
        <v>2007.6419688445751</v>
      </c>
      <c r="EZ73" s="11">
        <f t="shared" si="55"/>
        <v>1940.3639778046945</v>
      </c>
      <c r="FA73" s="11">
        <f t="shared" si="56"/>
        <v>1507.6592642735634</v>
      </c>
      <c r="FB73" s="11">
        <f t="shared" si="57"/>
        <v>1792.3817931886731</v>
      </c>
      <c r="FC73" s="11">
        <f t="shared" si="58"/>
        <v>24896687.292247284</v>
      </c>
      <c r="FD73" s="11">
        <v>128842000</v>
      </c>
      <c r="FE73" s="11">
        <f t="shared" si="59"/>
        <v>153738687.2922473</v>
      </c>
    </row>
    <row r="74" spans="1:161" x14ac:dyDescent="0.3">
      <c r="A74" s="15">
        <v>2030</v>
      </c>
      <c r="B74" s="16">
        <f>MAX(IF($P14=1,B19,IF($P14=0,$B$18*(1+$F$5)-($B$18*$F$5)*$V14,B19-($B$3-1)*($B$18-B19)+($B$18*(1+$F$5)-(B19-($B$3-1)*($B$18-B19)))*(1-$P14))),0)</f>
        <v>479.40725000000003</v>
      </c>
      <c r="C74" s="16">
        <f t="shared" si="90"/>
        <v>374.61136284745885</v>
      </c>
      <c r="D74" s="16">
        <f t="shared" si="91"/>
        <v>315.43020953806763</v>
      </c>
      <c r="E74" s="16">
        <f t="shared" si="92"/>
        <v>273.21100538787931</v>
      </c>
      <c r="F74" s="16">
        <f t="shared" si="93"/>
        <v>241.42271943959884</v>
      </c>
      <c r="G74" s="16">
        <f t="shared" si="94"/>
        <v>216.2037192826399</v>
      </c>
      <c r="H74" s="59">
        <f t="shared" si="95"/>
        <v>195.41553356865435</v>
      </c>
      <c r="I74" s="59">
        <f t="shared" si="96"/>
        <v>178.2481578083146</v>
      </c>
      <c r="J74" s="59">
        <f t="shared" si="97"/>
        <v>163.84808565289586</v>
      </c>
      <c r="K74" s="59">
        <f t="shared" si="98"/>
        <v>151.62065039787666</v>
      </c>
      <c r="L74" s="59">
        <f t="shared" si="99"/>
        <v>112.93571482464445</v>
      </c>
      <c r="M74" s="16"/>
      <c r="N74" s="19"/>
      <c r="O74" s="56"/>
      <c r="P74" s="56"/>
      <c r="R74" s="24">
        <v>2030</v>
      </c>
      <c r="S74" s="23">
        <f t="shared" ref="S74:AB74" si="159">MIN(IF($R14=1,S$19,IF($R14=0,S$18*(1+$H$5)-(S$18*$H$5)*$X14,S$19-($D$3-1)*(S$18-S$19)+(S$18*(1+$H$5)-(S$19-($D$3-1)*(S$18-S$19)))*(1-$R14))),1)</f>
        <v>0.78140529340651155</v>
      </c>
      <c r="T74" s="23">
        <f t="shared" si="159"/>
        <v>0.84201986597643674</v>
      </c>
      <c r="U74" s="23">
        <f t="shared" si="159"/>
        <v>0.86615358049561486</v>
      </c>
      <c r="V74" s="23">
        <f t="shared" si="159"/>
        <v>0.88364932114227812</v>
      </c>
      <c r="W74" s="23">
        <f t="shared" si="159"/>
        <v>0.89554007089515686</v>
      </c>
      <c r="X74" s="60">
        <f t="shared" si="159"/>
        <v>0.90384908371160144</v>
      </c>
      <c r="Y74" s="60">
        <f t="shared" si="159"/>
        <v>0.91214938010898494</v>
      </c>
      <c r="Z74" s="60">
        <f t="shared" si="159"/>
        <v>0.91921334653621301</v>
      </c>
      <c r="AA74" s="60">
        <f t="shared" si="159"/>
        <v>0.92537334076076772</v>
      </c>
      <c r="AB74" s="60">
        <f t="shared" si="159"/>
        <v>0.93107134918860956</v>
      </c>
      <c r="AC74" s="60">
        <f>MIN(IF($R14=1,AC$19,IF($R14=0,AC$18*(1+$H$5)-(AC$18*$H$5)*$X14,AC$19-($D$3-1)*(AC$18-AC$19)+(AC$18*(1+$H$5)-(AC$19-($D$3-1)*(AC$18-AC$19)))*(1-$R14))),1)</f>
        <v>0.8738298206816032</v>
      </c>
      <c r="AD74" s="21"/>
      <c r="AE74" s="21"/>
      <c r="AF74" s="21"/>
      <c r="AH74" s="11">
        <v>2030</v>
      </c>
      <c r="AI74" s="13">
        <f t="shared" si="118"/>
        <v>6.0464960686692457</v>
      </c>
      <c r="AJ74" s="13">
        <f t="shared" si="144"/>
        <v>7.7460848474990849</v>
      </c>
      <c r="AK74" s="13">
        <f t="shared" si="146"/>
        <v>8.4307627543747419</v>
      </c>
      <c r="AL74" s="13">
        <f t="shared" si="148"/>
        <v>9.1043505257283908</v>
      </c>
      <c r="AM74" s="13">
        <f t="shared" si="150"/>
        <v>9.757111883058819</v>
      </c>
      <c r="AN74" s="13">
        <f t="shared" si="152"/>
        <v>10.368419644842689</v>
      </c>
      <c r="AO74" s="66">
        <f t="shared" si="154"/>
        <v>10.767462535559279</v>
      </c>
      <c r="AP74" s="66">
        <f t="shared" si="156"/>
        <v>11.263184952539948</v>
      </c>
      <c r="AQ74" s="66">
        <f t="shared" si="158"/>
        <v>11.842457420682109</v>
      </c>
      <c r="AR74" s="66">
        <f>IF($Q5=1,AR$19,IF($Q5=0,AR$18*(1+$G$5)-(AR$18*$G$5)*$W5,AR$19-($C$3-1)*(AR$18-AR$19)+(AR$18*(1+$G$5)-(AR$19-($C$3-1)*(AR$18-AR$19)))*$Q5))</f>
        <v>12.429534337153493</v>
      </c>
      <c r="AS74" s="66">
        <f>IF($Q4=1,AS$19,IF($Q4=0,AS$18*(1+$G$5)-(AS$18*$G$5)*$W4,AS$19-($C$3-1)*(AS$18-AS$19)+(AS$18*(1+$G$5)-(AS$19-($C$3-1)*(AS$18-AS$19)))*$Q4))</f>
        <v>11.780398475761009</v>
      </c>
      <c r="AT74" s="66">
        <f t="shared" si="65"/>
        <v>8.1800890348141611</v>
      </c>
      <c r="AU74" s="13"/>
      <c r="AV74" s="13"/>
      <c r="AW74" s="13"/>
      <c r="AY74" s="36">
        <v>2030</v>
      </c>
      <c r="AZ74" s="37">
        <f t="shared" si="14"/>
        <v>2898.7340524165343</v>
      </c>
      <c r="BA74" s="37">
        <f t="shared" si="15"/>
        <v>2901.7714014536828</v>
      </c>
      <c r="BB74" s="37">
        <f t="shared" si="60"/>
        <v>2659.3172621781609</v>
      </c>
      <c r="BC74" s="37">
        <f t="shared" si="61"/>
        <v>2487.4087605379214</v>
      </c>
      <c r="BD74" s="37">
        <f t="shared" si="62"/>
        <v>2355.5884846844851</v>
      </c>
      <c r="BE74" s="37">
        <f t="shared" si="63"/>
        <v>2241.6908902981777</v>
      </c>
      <c r="BF74" s="37">
        <f t="shared" si="66"/>
        <v>2104.1294365668123</v>
      </c>
      <c r="BG74" s="37">
        <f t="shared" si="67"/>
        <v>2007.6419688445751</v>
      </c>
      <c r="BH74" s="37">
        <f t="shared" si="68"/>
        <v>1940.3639778046945</v>
      </c>
      <c r="BI74" s="37">
        <f t="shared" si="69"/>
        <v>1884.5740803419533</v>
      </c>
      <c r="BJ74" s="37">
        <f t="shared" si="70"/>
        <v>1330.4277227792215</v>
      </c>
      <c r="BK74" s="36">
        <f t="shared" si="16"/>
        <v>24811648.037906222</v>
      </c>
      <c r="BL74" s="40">
        <f t="shared" si="74"/>
        <v>130997300</v>
      </c>
      <c r="BM74" s="38">
        <f t="shared" si="17"/>
        <v>155808948.03790623</v>
      </c>
      <c r="BN74" s="38">
        <v>156326336.5967648</v>
      </c>
      <c r="BO74" s="39">
        <f t="shared" si="18"/>
        <v>156141554.96860102</v>
      </c>
      <c r="BP74" s="39">
        <f t="shared" si="19"/>
        <v>155956773.34043723</v>
      </c>
      <c r="BQ74" s="39">
        <f t="shared" si="20"/>
        <v>155808948.03790623</v>
      </c>
      <c r="BR74" s="39">
        <f t="shared" si="105"/>
        <v>-0.18478162816378474</v>
      </c>
      <c r="BS74" s="68">
        <f t="shared" si="106"/>
        <v>-0.51738855885857349</v>
      </c>
      <c r="BT74" s="68">
        <f t="shared" si="107"/>
        <v>-0.18478162816378474</v>
      </c>
      <c r="BU74" s="68">
        <f t="shared" si="108"/>
        <v>-0.36956325632756948</v>
      </c>
      <c r="BV74" s="68">
        <f t="shared" si="109"/>
        <v>-0.51738855885857349</v>
      </c>
      <c r="BW74" s="44"/>
      <c r="BX74" s="15">
        <v>2030</v>
      </c>
      <c r="BY74" s="16">
        <f t="shared" si="110"/>
        <v>479.40725000000003</v>
      </c>
      <c r="BZ74" s="16">
        <f t="shared" si="122"/>
        <v>374.61136284745885</v>
      </c>
      <c r="CA74" s="16">
        <f t="shared" si="123"/>
        <v>315.43020953806763</v>
      </c>
      <c r="CB74" s="16">
        <f t="shared" si="124"/>
        <v>273.21100538787931</v>
      </c>
      <c r="CC74" s="16">
        <f t="shared" si="125"/>
        <v>241.42271943959884</v>
      </c>
      <c r="CD74" s="16">
        <f t="shared" si="126"/>
        <v>216.2037192826399</v>
      </c>
      <c r="CE74" s="59">
        <f t="shared" si="127"/>
        <v>195.41553356865435</v>
      </c>
      <c r="CF74" s="59">
        <f t="shared" si="128"/>
        <v>178.2481578083146</v>
      </c>
      <c r="CG74" s="59">
        <f t="shared" si="129"/>
        <v>163.84808565289586</v>
      </c>
      <c r="CH74" s="59">
        <f t="shared" si="130"/>
        <v>151.62065039787666</v>
      </c>
      <c r="CI74" s="59">
        <f t="shared" si="131"/>
        <v>141.1696435308055</v>
      </c>
      <c r="CK74" s="21">
        <v>2030</v>
      </c>
      <c r="CL74" s="24">
        <f t="shared" si="132"/>
        <v>479.40725000000003</v>
      </c>
      <c r="CM74" s="24">
        <f t="shared" si="133"/>
        <v>374.61136284745885</v>
      </c>
      <c r="CN74" s="24">
        <f t="shared" si="134"/>
        <v>315.43020953806763</v>
      </c>
      <c r="CO74" s="24">
        <f t="shared" si="135"/>
        <v>273.21100538787931</v>
      </c>
      <c r="CP74" s="24">
        <f t="shared" si="136"/>
        <v>241.42271943959884</v>
      </c>
      <c r="CQ74" s="24">
        <f t="shared" si="137"/>
        <v>216.2037192826399</v>
      </c>
      <c r="CR74" s="5">
        <f t="shared" si="138"/>
        <v>195.41553356865435</v>
      </c>
      <c r="CS74" s="5">
        <f t="shared" si="139"/>
        <v>178.2481578083146</v>
      </c>
      <c r="CT74" s="5">
        <f t="shared" si="140"/>
        <v>163.84808565289586</v>
      </c>
      <c r="CU74" s="5">
        <f t="shared" si="141"/>
        <v>151.62065039787666</v>
      </c>
      <c r="CV74" s="5">
        <f t="shared" si="142"/>
        <v>112.93571482464445</v>
      </c>
      <c r="CX74" s="11">
        <v>2030</v>
      </c>
      <c r="CY74" s="13">
        <f t="shared" si="113"/>
        <v>6.0464960686692457</v>
      </c>
      <c r="CZ74" s="13">
        <f t="shared" si="89"/>
        <v>7.7460848474990849</v>
      </c>
      <c r="DA74" s="13">
        <f t="shared" si="89"/>
        <v>8.4307627543747419</v>
      </c>
      <c r="DB74" s="13">
        <f t="shared" si="89"/>
        <v>9.1043505257283908</v>
      </c>
      <c r="DC74" s="13">
        <f t="shared" si="89"/>
        <v>9.757111883058819</v>
      </c>
      <c r="DD74" s="13">
        <f t="shared" si="89"/>
        <v>10.368419644842689</v>
      </c>
      <c r="DE74" s="66">
        <f t="shared" si="89"/>
        <v>10.767462535559279</v>
      </c>
      <c r="DF74" s="66">
        <f t="shared" si="89"/>
        <v>11.263184952539948</v>
      </c>
      <c r="DG74" s="66">
        <f t="shared" si="89"/>
        <v>11.842457420682109</v>
      </c>
      <c r="DH74" s="66">
        <f t="shared" si="89"/>
        <v>12.429534337153493</v>
      </c>
      <c r="DI74" s="66">
        <f t="shared" si="89"/>
        <v>13.089331639734455</v>
      </c>
      <c r="DK74" s="15">
        <v>2030</v>
      </c>
      <c r="DL74" s="16">
        <f t="shared" si="21"/>
        <v>2898.7340524165343</v>
      </c>
      <c r="DM74" s="16">
        <f t="shared" si="22"/>
        <v>2901.7714014536828</v>
      </c>
      <c r="DN74" s="16">
        <f t="shared" si="23"/>
        <v>2659.3172621781609</v>
      </c>
      <c r="DO74" s="16">
        <f t="shared" si="24"/>
        <v>2487.4087605379214</v>
      </c>
      <c r="DP74" s="16">
        <f t="shared" si="25"/>
        <v>2355.5884846844851</v>
      </c>
      <c r="DQ74" s="16">
        <f t="shared" si="26"/>
        <v>2241.6908902981777</v>
      </c>
      <c r="DR74" s="16">
        <f t="shared" si="27"/>
        <v>2104.1294365668123</v>
      </c>
      <c r="DS74" s="16">
        <f t="shared" si="28"/>
        <v>2007.6419688445751</v>
      </c>
      <c r="DT74" s="16">
        <f t="shared" si="29"/>
        <v>1940.3639778046945</v>
      </c>
      <c r="DU74" s="16">
        <f t="shared" si="30"/>
        <v>1884.5740803419533</v>
      </c>
      <c r="DV74" s="16">
        <f t="shared" si="31"/>
        <v>1663.0346534740261</v>
      </c>
      <c r="DW74" s="15">
        <f t="shared" si="32"/>
        <v>25144254.968601029</v>
      </c>
      <c r="DX74" s="15">
        <v>130997300</v>
      </c>
      <c r="DY74" s="15">
        <f t="shared" si="33"/>
        <v>156141554.96860102</v>
      </c>
      <c r="EA74" s="21">
        <v>2030</v>
      </c>
      <c r="EB74" s="24">
        <f t="shared" si="34"/>
        <v>2898.7340524165343</v>
      </c>
      <c r="EC74" s="24">
        <f t="shared" si="35"/>
        <v>2901.7714014536828</v>
      </c>
      <c r="ED74" s="24">
        <f t="shared" si="36"/>
        <v>2659.3172621781609</v>
      </c>
      <c r="EE74" s="24">
        <f t="shared" si="37"/>
        <v>2487.4087605379214</v>
      </c>
      <c r="EF74" s="24">
        <f t="shared" si="38"/>
        <v>2355.5884846844851</v>
      </c>
      <c r="EG74" s="24">
        <f t="shared" si="39"/>
        <v>2241.6908902981777</v>
      </c>
      <c r="EH74" s="24">
        <f t="shared" si="40"/>
        <v>2104.1294365668123</v>
      </c>
      <c r="EI74" s="24">
        <f t="shared" si="41"/>
        <v>2007.6419688445751</v>
      </c>
      <c r="EJ74" s="24">
        <f t="shared" si="42"/>
        <v>1940.3639778046945</v>
      </c>
      <c r="EK74" s="24">
        <f t="shared" si="43"/>
        <v>1884.5740803419533</v>
      </c>
      <c r="EL74" s="24">
        <f t="shared" si="44"/>
        <v>1330.4277227792215</v>
      </c>
      <c r="EM74" s="21">
        <f t="shared" si="45"/>
        <v>24811648.037906222</v>
      </c>
      <c r="EN74" s="21">
        <v>130997300</v>
      </c>
      <c r="EO74" s="21">
        <f t="shared" si="46"/>
        <v>155808948.03790623</v>
      </c>
      <c r="EQ74" s="11">
        <v>2030</v>
      </c>
      <c r="ER74" s="11">
        <f t="shared" si="47"/>
        <v>2898.7340524165343</v>
      </c>
      <c r="ES74" s="11">
        <f t="shared" si="48"/>
        <v>2901.7714014536828</v>
      </c>
      <c r="ET74" s="11">
        <f t="shared" si="49"/>
        <v>2659.3172621781609</v>
      </c>
      <c r="EU74" s="11">
        <f t="shared" si="50"/>
        <v>2487.4087605379214</v>
      </c>
      <c r="EV74" s="11">
        <f t="shared" si="51"/>
        <v>2355.5884846844851</v>
      </c>
      <c r="EW74" s="11">
        <f t="shared" si="52"/>
        <v>2241.6908902981777</v>
      </c>
      <c r="EX74" s="11">
        <f t="shared" si="53"/>
        <v>2104.1294365668123</v>
      </c>
      <c r="EY74" s="11">
        <f t="shared" si="54"/>
        <v>2007.6419688445751</v>
      </c>
      <c r="EZ74" s="11">
        <f t="shared" si="55"/>
        <v>1940.3639778046945</v>
      </c>
      <c r="FA74" s="11">
        <f t="shared" si="56"/>
        <v>1884.5740803419533</v>
      </c>
      <c r="FB74" s="11">
        <f t="shared" si="57"/>
        <v>1478.2530253102461</v>
      </c>
      <c r="FC74" s="11">
        <f t="shared" si="58"/>
        <v>24959473.340437245</v>
      </c>
      <c r="FD74" s="11">
        <v>130997300</v>
      </c>
      <c r="FE74" s="11">
        <f t="shared" si="59"/>
        <v>155956773.34043723</v>
      </c>
    </row>
    <row r="75" spans="1:161" x14ac:dyDescent="0.3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BO75" s="2"/>
      <c r="BP75" s="2"/>
      <c r="BQ75" s="2"/>
      <c r="BR75" s="7"/>
      <c r="BT75" s="44"/>
      <c r="BU75" s="44"/>
      <c r="BV75" s="44"/>
      <c r="BW75" s="44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K75" s="6"/>
      <c r="CL75" s="6"/>
      <c r="CM75" s="6"/>
      <c r="CN75" s="6"/>
      <c r="CO75" s="6"/>
      <c r="CP75" s="6"/>
      <c r="CQ75" s="6"/>
      <c r="CR75" s="6"/>
    </row>
    <row r="76" spans="1:161" x14ac:dyDescent="0.3">
      <c r="A76" s="15" t="s">
        <v>32</v>
      </c>
      <c r="B76" s="16">
        <f>MAX(B21:B60)</f>
        <v>564.91600000000005</v>
      </c>
      <c r="C76" s="16">
        <f>$B$76</f>
        <v>564.91600000000005</v>
      </c>
      <c r="D76" s="16">
        <f>$B$76</f>
        <v>564.91600000000005</v>
      </c>
      <c r="E76" s="16">
        <f>$B$76</f>
        <v>564.91600000000005</v>
      </c>
      <c r="F76" s="16">
        <f>$B$76</f>
        <v>564.91600000000005</v>
      </c>
      <c r="G76" s="16">
        <f>$B$76</f>
        <v>564.91600000000005</v>
      </c>
      <c r="H76" s="15"/>
      <c r="I76" s="15"/>
      <c r="J76" s="15"/>
      <c r="K76" s="15"/>
      <c r="L76" s="15"/>
      <c r="M76" s="15"/>
      <c r="N76" s="15"/>
      <c r="O76" s="15"/>
      <c r="P76" s="15"/>
      <c r="R76" s="21" t="s">
        <v>32</v>
      </c>
      <c r="S76" s="23">
        <f>MAX(AC21:AC60)*100</f>
        <v>88.796224948118805</v>
      </c>
      <c r="T76" s="23">
        <f>$S76</f>
        <v>88.796224948118805</v>
      </c>
      <c r="U76" s="23">
        <f t="shared" ref="U76:X77" si="160">$S76</f>
        <v>88.796224948118805</v>
      </c>
      <c r="V76" s="23">
        <f t="shared" si="160"/>
        <v>88.796224948118805</v>
      </c>
      <c r="W76" s="23">
        <f t="shared" si="160"/>
        <v>88.796224948118805</v>
      </c>
      <c r="X76" s="23">
        <f t="shared" si="160"/>
        <v>88.796224948118805</v>
      </c>
      <c r="Y76" s="23"/>
      <c r="Z76" s="23"/>
      <c r="AA76" s="23"/>
      <c r="AB76" s="23"/>
      <c r="AC76" s="23"/>
      <c r="AD76" s="23"/>
      <c r="AE76" s="23"/>
      <c r="AF76" s="23"/>
      <c r="AG76" s="7"/>
      <c r="AH76" s="13" t="s">
        <v>32</v>
      </c>
      <c r="AI76" s="13">
        <f>MAX(AI21:AI60)</f>
        <v>6.7405152569265088</v>
      </c>
      <c r="AJ76" s="13">
        <f>$AI76</f>
        <v>6.7405152569265088</v>
      </c>
      <c r="AK76" s="13">
        <f t="shared" ref="AK76:AN77" si="161">$AI76</f>
        <v>6.7405152569265088</v>
      </c>
      <c r="AL76" s="13">
        <f t="shared" si="161"/>
        <v>6.7405152569265088</v>
      </c>
      <c r="AM76" s="13">
        <f t="shared" si="161"/>
        <v>6.7405152569265088</v>
      </c>
      <c r="AN76" s="13">
        <f t="shared" si="161"/>
        <v>6.7405152569265088</v>
      </c>
      <c r="AO76" s="13"/>
      <c r="AP76" s="13"/>
      <c r="AQ76" s="13"/>
      <c r="AR76" s="13"/>
      <c r="AS76" s="13"/>
      <c r="AT76" s="13"/>
      <c r="AU76" s="13"/>
      <c r="AV76" s="13"/>
      <c r="AW76" s="42"/>
      <c r="BO76" s="2"/>
      <c r="BP76" s="2"/>
      <c r="BQ76" s="2"/>
      <c r="BR76" s="7"/>
      <c r="BT76" s="44"/>
      <c r="BU76" s="44"/>
      <c r="BV76" s="44"/>
      <c r="BW76" s="44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K76" s="6"/>
      <c r="CL76" s="6"/>
      <c r="CM76" s="6"/>
      <c r="CN76" s="6"/>
      <c r="CO76" s="6"/>
      <c r="CP76" s="6"/>
      <c r="CQ76" s="6"/>
      <c r="CR76" s="6"/>
    </row>
    <row r="77" spans="1:161" x14ac:dyDescent="0.3">
      <c r="A77" s="15" t="s">
        <v>33</v>
      </c>
      <c r="B77" s="16">
        <f>MIN(B21:B60)</f>
        <v>385.358</v>
      </c>
      <c r="C77" s="16">
        <f>$B$77</f>
        <v>385.358</v>
      </c>
      <c r="D77" s="16">
        <f>$B$77</f>
        <v>385.358</v>
      </c>
      <c r="E77" s="16">
        <f>$B$77</f>
        <v>385.358</v>
      </c>
      <c r="F77" s="16">
        <f>$B$77</f>
        <v>385.358</v>
      </c>
      <c r="G77" s="16">
        <f>$B$77</f>
        <v>385.358</v>
      </c>
      <c r="H77" s="15"/>
      <c r="I77" s="15"/>
      <c r="J77" s="15"/>
      <c r="K77" s="15"/>
      <c r="L77" s="15"/>
      <c r="M77" s="15"/>
      <c r="N77" s="15"/>
      <c r="O77" s="15"/>
      <c r="P77" s="15"/>
      <c r="R77" s="21" t="s">
        <v>33</v>
      </c>
      <c r="S77" s="23">
        <f>MIN(AC21:AC60)*100</f>
        <v>84.827961343421549</v>
      </c>
      <c r="T77" s="23">
        <f>$S77</f>
        <v>84.827961343421549</v>
      </c>
      <c r="U77" s="23">
        <f t="shared" si="160"/>
        <v>84.827961343421549</v>
      </c>
      <c r="V77" s="23">
        <f t="shared" si="160"/>
        <v>84.827961343421549</v>
      </c>
      <c r="W77" s="23">
        <f t="shared" si="160"/>
        <v>84.827961343421549</v>
      </c>
      <c r="X77" s="23">
        <f t="shared" si="160"/>
        <v>84.827961343421549</v>
      </c>
      <c r="Y77" s="23"/>
      <c r="Z77" s="23"/>
      <c r="AA77" s="23"/>
      <c r="AB77" s="23"/>
      <c r="AC77" s="23"/>
      <c r="AD77" s="23"/>
      <c r="AE77" s="23"/>
      <c r="AF77" s="23"/>
      <c r="AG77" s="7"/>
      <c r="AH77" s="13" t="s">
        <v>33</v>
      </c>
      <c r="AI77" s="13">
        <f>MIN(AI21:AI60)</f>
        <v>5.3918809786954567</v>
      </c>
      <c r="AJ77" s="13">
        <f>$AI77</f>
        <v>5.3918809786954567</v>
      </c>
      <c r="AK77" s="13">
        <f t="shared" si="161"/>
        <v>5.3918809786954567</v>
      </c>
      <c r="AL77" s="13">
        <f t="shared" si="161"/>
        <v>5.3918809786954567</v>
      </c>
      <c r="AM77" s="13">
        <f t="shared" si="161"/>
        <v>5.3918809786954567</v>
      </c>
      <c r="AN77" s="13">
        <f t="shared" si="161"/>
        <v>5.3918809786954567</v>
      </c>
      <c r="AO77" s="13"/>
      <c r="AP77" s="13"/>
      <c r="AQ77" s="13"/>
      <c r="AR77" s="13"/>
      <c r="AS77" s="13"/>
      <c r="AT77" s="13"/>
      <c r="AU77" s="13"/>
      <c r="AV77" s="13"/>
      <c r="AW77" s="11"/>
      <c r="BO77" s="2"/>
      <c r="BP77" s="2"/>
      <c r="BQ77" s="2"/>
      <c r="BR77" s="7"/>
      <c r="CK77" s="6"/>
      <c r="CL77" s="7"/>
      <c r="CM77" s="7"/>
      <c r="CN77" s="7"/>
      <c r="CO77" s="7"/>
      <c r="CP77" s="7"/>
      <c r="CQ77" s="7"/>
      <c r="CR77" s="7"/>
    </row>
    <row r="78" spans="1:161" x14ac:dyDescent="0.3">
      <c r="AY78" s="7"/>
      <c r="BL78" s="6"/>
      <c r="BR78" s="7"/>
      <c r="CK78" s="6"/>
      <c r="CL78" s="7"/>
      <c r="CM78" s="7"/>
      <c r="CN78" s="7"/>
      <c r="CO78" s="7"/>
      <c r="CP78" s="7"/>
      <c r="CQ78" s="7"/>
      <c r="CR78" s="7"/>
    </row>
    <row r="79" spans="1:161" x14ac:dyDescent="0.3">
      <c r="AY79" s="7"/>
      <c r="BL79" s="6"/>
      <c r="BR79" s="7"/>
    </row>
    <row r="80" spans="1:161" x14ac:dyDescent="0.3">
      <c r="B80" t="s">
        <v>58</v>
      </c>
      <c r="C80" t="s">
        <v>59</v>
      </c>
      <c r="D80" t="s">
        <v>60</v>
      </c>
      <c r="E80" t="s">
        <v>61</v>
      </c>
      <c r="AY80" s="7"/>
      <c r="BL80" s="6"/>
      <c r="BR80" s="7"/>
    </row>
    <row r="81" spans="1:70" x14ac:dyDescent="0.3">
      <c r="A81" t="s">
        <v>55</v>
      </c>
      <c r="B81">
        <f>CORREL(B21:B59,B22:B60)</f>
        <v>0.82473820509762985</v>
      </c>
      <c r="C81">
        <f>CORREL(AI21:AI59,AI22:AI60)</f>
        <v>0.28776926269393499</v>
      </c>
      <c r="D81">
        <f>CORREL(AN35:AN59,AN36:AN60)</f>
        <v>0.33865458547178512</v>
      </c>
      <c r="E81">
        <f>CORREL(AC35:AC59,AC36:AC60)</f>
        <v>0.59375085075701339</v>
      </c>
      <c r="AY81" s="7"/>
      <c r="BL81" s="6"/>
      <c r="BR81" s="7"/>
    </row>
    <row r="82" spans="1:70" x14ac:dyDescent="0.3">
      <c r="A82" t="s">
        <v>56</v>
      </c>
      <c r="B82">
        <f>CORREL(B21:B58,B23:B60)</f>
        <v>0.57094857298025004</v>
      </c>
      <c r="C82">
        <f>CORREL(AI21:AI58,AI23:AI60)</f>
        <v>-3.0291442503309937E-2</v>
      </c>
      <c r="D82">
        <f>CORREL(AN35:AN58,AN37:AN60)</f>
        <v>0.14659225136855086</v>
      </c>
      <c r="E82">
        <f>CORREL(AC35:AC58,AC37:AC60)</f>
        <v>0.23958531022571627</v>
      </c>
      <c r="AY82" s="7"/>
      <c r="BL82" s="6"/>
      <c r="BR82" s="7"/>
    </row>
    <row r="83" spans="1:70" x14ac:dyDescent="0.3">
      <c r="A83" t="s">
        <v>57</v>
      </c>
      <c r="B83">
        <f>CORREL(B21:B57,B24:B60)</f>
        <v>0.25110822787301323</v>
      </c>
      <c r="C83">
        <f>CORREL(AI21:AI57,AI24:AI60)</f>
        <v>-0.23199574495564748</v>
      </c>
      <c r="D83">
        <f>CORREL(AN35:AN57,AN38:AN60)</f>
        <v>6.2557858981421077E-2</v>
      </c>
      <c r="E83">
        <f>CORREL(AC35:AC57,AC38:AC60)</f>
        <v>-8.798221993437727E-2</v>
      </c>
      <c r="AY83" s="7"/>
      <c r="BL83" s="6"/>
      <c r="BR83" s="7"/>
    </row>
    <row r="84" spans="1:70" x14ac:dyDescent="0.3">
      <c r="AY84" s="7"/>
      <c r="BL84" s="6"/>
      <c r="BR84" s="7"/>
    </row>
    <row r="85" spans="1:70" x14ac:dyDescent="0.3">
      <c r="AY85" s="7"/>
      <c r="BL85" s="6"/>
      <c r="BR85" s="7"/>
    </row>
    <row r="86" spans="1:70" x14ac:dyDescent="0.3">
      <c r="AY86" s="7"/>
      <c r="BL86" s="6"/>
      <c r="BR86" s="7"/>
    </row>
    <row r="87" spans="1:70" x14ac:dyDescent="0.3">
      <c r="BR87" s="7"/>
    </row>
    <row r="88" spans="1:70" x14ac:dyDescent="0.3">
      <c r="BR88" s="7"/>
    </row>
    <row r="89" spans="1:70" x14ac:dyDescent="0.3">
      <c r="BR89" s="7"/>
    </row>
    <row r="90" spans="1:70" x14ac:dyDescent="0.3">
      <c r="BR90" s="7"/>
    </row>
    <row r="91" spans="1:70" x14ac:dyDescent="0.3">
      <c r="BR91" s="7"/>
    </row>
    <row r="92" spans="1:70" x14ac:dyDescent="0.3">
      <c r="BR92" s="7"/>
    </row>
    <row r="93" spans="1:70" x14ac:dyDescent="0.3">
      <c r="BR93" s="7"/>
    </row>
    <row r="94" spans="1:70" x14ac:dyDescent="0.3">
      <c r="BR94" s="7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3BB012C9D1B24489D49F4F0C2CE25A" ma:contentTypeVersion="0" ma:contentTypeDescription="Create a new document." ma:contentTypeScope="" ma:versionID="a8264c1b186d279674798200734da11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4c0cee909c7cfbb391cc85d19723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7B8B56-E978-49D0-B86D-4E0B734AC71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3836395-D51E-481B-B758-76D60B25A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B013ED-4A9B-4D0E-8800-027C726BE9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Results</vt:lpstr>
      <vt:lpstr>Plumbing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feldman</dc:creator>
  <cp:lastModifiedBy>Petr Sedlacek</cp:lastModifiedBy>
  <dcterms:created xsi:type="dcterms:W3CDTF">2011-02-11T15:45:55Z</dcterms:created>
  <dcterms:modified xsi:type="dcterms:W3CDTF">2026-07-22T20:57:36Z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0x010100B63BB012C9D1B24489D49F4F0C2CE25A</vt:lpwstr>
  </property>
</Properties>
</file>